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Cz5y1BZsO+Xx8h9e4JfgXAHXa3f5YciAixyRO1mIv8IM3ISM3UNaghkY/ZXhuhizQYpNoMn9h5gAC5zprjZaA==" workbookSaltValue="VzS4ycIoTu12FrqBchlQ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<sst xmlns="http://schemas.openxmlformats.org/spreadsheetml/2006/main" count="2547" uniqueCount="1027">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</sst>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230</v>
      </c>
    </row>
    <row r="3" spans="1:19" ht="23.25" thickBot="1">
      <c r="A3" s="1467" t="s">
        <v>100</v>
      </c>
      <c r="B3" s="1468"/>
      <c r="C3" s="1468"/>
      <c r="D3" s="1469"/>
      <c r="E3" s="365"/>
      <c r="F3" s="2"/>
      <c r="Q3" s="345">
        <v>1</v>
      </c>
      <c r="R3" s="345">
        <v>3</v>
      </c>
      <c r="S3" t="b">
        <f>AND(Q3&gt;=TrimIni,Q3&lt;=TrimFin)</f>
        <v>1</v>
      </c>
    </row>
    <row r="4" spans="1:19" ht="22.5" customHeight="1" thickBot="1">
      <c r="A4" s="366" t="s">
        <v>1020</v>
      </c>
      <c r="B4" s="365"/>
      <c r="C4" s="365"/>
      <c r="D4" s="365"/>
      <c r="E4" s="365"/>
      <c r="F4" s="2"/>
      <c r="Q4" s="345">
        <v>2</v>
      </c>
      <c r="R4" s="345">
        <v>3</v>
      </c>
      <c r="S4" t="b">
        <f>AND(Q4&gt;=TrimIni,Q4&lt;=TrimFin)</f>
        <v>0</v>
      </c>
    </row>
    <row r="5" spans="1:19" ht="15.75" thickBot="1">
      <c r="A5" s="367" t="s">
        <v>37</v>
      </c>
      <c r="B5" s="368">
        <v>2026</v>
      </c>
      <c r="C5" s="369" t="s">
        <v>217</v>
      </c>
      <c r="D5" s="370">
        <v>1</v>
      </c>
      <c r="E5" s="371"/>
      <c r="F5" s="3"/>
      <c r="H5" t="s">
        <v>426</v>
      </c>
      <c r="Q5" s="345">
        <v>3</v>
      </c>
      <c r="R5" s="345">
        <v>2</v>
      </c>
      <c r="S5" t="b">
        <f>AND(Q5&gt;=TrimIni,Q5&lt;=TrimFin)</f>
        <v>0</v>
      </c>
    </row>
    <row r="6" spans="1:19" ht="15">
      <c r="A6" s="372"/>
      <c r="B6" s="371"/>
      <c r="C6" s="369" t="s">
        <v>218</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1021</v>
      </c>
      <c r="B9" s="374" t="s">
        <v>1022</v>
      </c>
      <c r="C9" s="371"/>
      <c r="D9" s="371"/>
      <c r="E9" s="380"/>
      <c r="F9" s="3"/>
    </row>
    <row r="10" spans="1:19">
      <c r="A10" s="379" t="s">
        <v>1023</v>
      </c>
      <c r="B10" s="371" t="s">
        <v>1024</v>
      </c>
      <c r="C10" s="371"/>
      <c r="D10" s="371"/>
      <c r="E10" s="380"/>
      <c r="F10" s="3"/>
      <c r="Q10" s="345">
        <v>0</v>
      </c>
    </row>
    <row r="11" spans="1:19" ht="13.5" thickBot="1">
      <c r="A11" s="381" t="s">
        <v>1025</v>
      </c>
      <c r="B11" s="382" t="s">
        <v>1026</v>
      </c>
      <c r="C11" s="382"/>
      <c r="D11" s="382"/>
      <c r="E11" s="383"/>
      <c r="F11" s="3"/>
    </row>
    <row r="12" spans="1:19" ht="40.5" customHeight="1" thickBot="1">
      <c r="A12" s="373"/>
      <c r="B12" s="371"/>
      <c r="C12" s="371"/>
      <c r="D12" s="371"/>
      <c r="E12" s="371"/>
      <c r="F12" s="3"/>
      <c r="Q12" s="1100"/>
    </row>
    <row r="13" spans="1:19" ht="15">
      <c r="A13" s="384" t="s">
        <v>126</v>
      </c>
      <c r="B13" s="385" t="s">
        <v>55</v>
      </c>
      <c r="C13" s="787" t="s">
        <v>721</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fxM0qGPHJpf+sLMnEOTfuRV/mhPZVyd96gxm6F2wxnLBRt/NMHFluJRB8KCzcy5sjQcbDe7Fknz9lJ37/tBQ==" saltValue="AjzagfCxPrcJ6wubha3tJ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357</v>
      </c>
      <c r="E3" s="493"/>
    </row>
    <row r="4" spans="1:78" s="470" customFormat="1" ht="15.75" thickBot="1">
      <c r="A4" s="1080" t="s">
        <v>362</v>
      </c>
      <c r="B4" s="1091" t="str">
        <f>Criterios!B9</f>
        <v>EXTREMADURA</v>
      </c>
      <c r="C4" s="1081"/>
      <c r="D4" s="1081"/>
      <c r="E4" s="1082"/>
      <c r="F4" s="1081"/>
      <c r="G4" s="542"/>
      <c r="H4" s="1628" t="s">
        <v>363</v>
      </c>
      <c r="I4" s="1629"/>
      <c r="J4" s="1629"/>
      <c r="K4" s="1629"/>
      <c r="L4" s="1629"/>
      <c r="M4" s="1083"/>
      <c r="N4" s="1628" t="s">
        <v>364</v>
      </c>
      <c r="O4" s="1629"/>
      <c r="P4" s="1629"/>
      <c r="Q4" s="1629"/>
      <c r="R4" s="1629"/>
      <c r="S4" s="1629"/>
      <c r="T4" s="1629"/>
      <c r="U4" s="1629"/>
      <c r="V4" s="1629"/>
      <c r="W4" s="1629"/>
      <c r="X4" s="1629"/>
      <c r="Y4" s="1629"/>
      <c r="Z4" s="1629"/>
      <c r="AA4" s="1629"/>
      <c r="AB4" s="1629"/>
      <c r="AC4" s="1629"/>
      <c r="AD4" s="1630"/>
    </row>
    <row r="5" spans="1:78" s="470" customFormat="1" ht="15.75" customHeight="1">
      <c r="A5" s="1612" t="s">
        <v>353</v>
      </c>
      <c r="B5" s="1614" t="str">
        <f>"Año:  " &amp;Criterios!B5 &amp; "      Trimestre   " &amp;Criterios!D5 &amp; " al " &amp;Criterios!D6</f>
        <v>Año:  2026      Trimestre   1 al 1</v>
      </c>
      <c r="C5" s="1602" t="s">
        <v>263</v>
      </c>
      <c r="D5" s="1604" t="s">
        <v>130</v>
      </c>
      <c r="E5" s="1604" t="s">
        <v>92</v>
      </c>
      <c r="F5" s="1608" t="s">
        <v>9</v>
      </c>
      <c r="G5" s="1607"/>
      <c r="H5" s="1631" t="s">
        <v>358</v>
      </c>
      <c r="I5" s="1610" t="s">
        <v>360</v>
      </c>
      <c r="J5" s="1631" t="s">
        <v>359</v>
      </c>
      <c r="K5" s="1606" t="s">
        <v>304</v>
      </c>
      <c r="L5" s="1606" t="s">
        <v>361</v>
      </c>
      <c r="M5" s="1606" t="s">
        <v>355</v>
      </c>
      <c r="N5" s="1618"/>
      <c r="O5" s="1619"/>
      <c r="Q5" s="1622" t="s">
        <v>454</v>
      </c>
      <c r="R5" s="1623"/>
      <c r="S5" s="1624"/>
      <c r="T5" s="1622"/>
      <c r="U5" s="1623"/>
      <c r="V5" s="1624"/>
      <c r="W5" s="1622" t="s">
        <v>274</v>
      </c>
      <c r="X5" s="1623"/>
      <c r="Y5" s="1623"/>
      <c r="Z5" s="1624"/>
      <c r="AA5" s="1622" t="s">
        <v>449</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231</v>
      </c>
      <c r="O7" s="1086" t="s">
        <v>395</v>
      </c>
      <c r="P7" s="1087" t="s">
        <v>396</v>
      </c>
      <c r="Q7" s="1088" t="s">
        <v>397</v>
      </c>
      <c r="R7" s="1087" t="s">
        <v>388</v>
      </c>
      <c r="S7" s="1088" t="s">
        <v>785</v>
      </c>
      <c r="T7" s="1140" t="s">
        <v>786</v>
      </c>
      <c r="U7" s="1140" t="s">
        <v>787</v>
      </c>
      <c r="V7" s="1140" t="s">
        <v>788</v>
      </c>
      <c r="W7" s="1086" t="s">
        <v>450</v>
      </c>
      <c r="X7" s="1154" t="s">
        <v>802</v>
      </c>
      <c r="Y7" s="1154" t="s">
        <v>803</v>
      </c>
      <c r="Z7" s="1155" t="s">
        <v>804</v>
      </c>
      <c r="AA7" s="1089" t="s">
        <v>450</v>
      </c>
      <c r="AB7" s="1154" t="s">
        <v>451</v>
      </c>
      <c r="AC7" s="1154" t="s">
        <v>805</v>
      </c>
      <c r="AD7" s="1155" t="s">
        <v>806</v>
      </c>
      <c r="AE7" s="1090" t="s">
        <v>784</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0</v>
      </c>
      <c r="B10" s="501" t="str">
        <f>Datos!A10</f>
        <v>Sección De Violencia sobre la Mujer del TI</v>
      </c>
      <c r="C10" s="224" t="str">
        <f t="shared" si="0"/>
        <v xml:space="preserve"> - </v>
      </c>
      <c r="D10" s="224" t="str">
        <f>IF(ISNUMBER(Datos!I10),Datos!I10," - ")</f>
        <v xml:space="preserve"> - </v>
      </c>
      <c r="E10" s="225" t="str">
        <f>IF(ISNUMBER(Datos!J10),Datos!J10," - ")</f>
        <v xml:space="preserve"> - </v>
      </c>
      <c r="F10" s="225" t="str">
        <f>IF(ISNUMBER(Datos!K10),Datos!K10," - ")</f>
        <v xml:space="preserve"> - </v>
      </c>
      <c r="G10" s="1029" t="str">
        <f>IF(Datos!E10&lt;&gt;"",Datos!E10,Datos!D10)</f>
        <v>37</v>
      </c>
      <c r="H10" s="226" t="str">
        <f>IF(ISNUMBER(Datos!L10),Datos!L10," - ")</f>
        <v xml:space="preserve"> - </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38.217948717948715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117</v>
      </c>
      <c r="D17" s="224">
        <f>IF(ISNUMBER(IF(D_I="SI",Datos!I17,Datos!I17+Datos!AC17)),IF(D_I="SI",Datos!I17,Datos!I17+Datos!AC17)," - ")</f>
        <v>117</v>
      </c>
      <c r="E17" s="225">
        <f>IF(ISNUMBER(IF(D_I="SI",Datos!J17,Datos!J17+Datos!AD17)),IF(D_I="SI",Datos!J17,Datos!J17+Datos!AD17)," - ")</f>
        <v>119</v>
      </c>
      <c r="F17" s="225">
        <f>IF(ISNUMBER(IF(D_I="SI",Datos!K17,Datos!K17+Datos!AE17)),IF(D_I="SI",Datos!K17,Datos!K17+Datos!AE17)," - ")</f>
        <v>118</v>
      </c>
      <c r="G17" s="1029" t="str">
        <f>IF(Datos!E17&lt;&gt;"",Datos!E17,Datos!D17)</f>
        <v>04</v>
      </c>
      <c r="H17" s="226">
        <f>IF(ISNUMBER(IF(D_I="SI",Datos!L17,Datos!L17+Datos!AF17)),IF(D_I="SI",Datos!L17,Datos!L17+Datos!AF17)," - ")</f>
        <v>118</v>
      </c>
      <c r="I17" s="1039" t="str">
        <f>IF(ISNUMBER(Datos!AS17/Datos!BM17),Datos!AS17/Datos!BM17," - ")</f>
        <v xml:space="preserve"> - </v>
      </c>
      <c r="J17" s="1040">
        <f>IF(ISNUMBER(Datos!BY17/Datos!CN17),Datos!BY17/Datos!CN17," - ")</f>
        <v>0</v>
      </c>
      <c r="K17" s="229">
        <f t="shared" si="3"/>
        <v>8.5470085470085479E-3</v>
      </c>
      <c r="L17" s="1020">
        <f>IF(ISNUMBER(NºAsuntos!I17/NºAsuntos!G17),(NºAsuntos!I17/NºAsuntos!G17)*11," - ")</f>
        <v>11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0</v>
      </c>
      <c r="B18" s="501" t="str">
        <f>Datos!A18</f>
        <v>Sección De Violencia sobre la Mujer del TI</v>
      </c>
      <c r="C18" s="224" t="str">
        <f t="shared" si="2"/>
        <v xml:space="preserve"> - </v>
      </c>
      <c r="D18" s="224" t="str">
        <f>IF(ISNUMBER(IF(D_I="SI",Datos!I18,Datos!I18+Datos!AC18)),IF(D_I="SI",Datos!I18,Datos!I18+Datos!AC18)," - ")</f>
        <v xml:space="preserve"> - </v>
      </c>
      <c r="E18" s="225" t="str">
        <f>IF(ISNUMBER(IF(D_I="SI",Datos!J18,Datos!J18+Datos!AD18)),IF(D_I="SI",Datos!J18,Datos!J18+Datos!AD18)," - ")</f>
        <v xml:space="preserve"> - </v>
      </c>
      <c r="F18" s="225" t="str">
        <f>IF(ISNUMBER(IF(D_I="SI",Datos!K18,Datos!K18+Datos!AE18)),IF(D_I="SI",Datos!K18,Datos!K18+Datos!AE18)," - ")</f>
        <v xml:space="preserve"> - </v>
      </c>
      <c r="G18" s="1029" t="str">
        <f>IF(Datos!E18&lt;&gt;"",Datos!E18,Datos!D18)</f>
        <v>37</v>
      </c>
      <c r="H18" s="226" t="str">
        <f>IF(ISNUMBER(IF(D_I="SI",Datos!L18,Datos!L18+Datos!AF18)),IF(D_I="SI",Datos!L18,Datos!L18+Datos!AF18)," - ")</f>
        <v xml:space="preserve"> - </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117</v>
      </c>
      <c r="D19" s="1044">
        <f>SUBTOTAL(9,D15:D18)</f>
        <v>117</v>
      </c>
      <c r="E19" s="1045">
        <f>SUBTOTAL(9,E15:E18)</f>
        <v>119</v>
      </c>
      <c r="F19" s="1045">
        <f>SUBTOTAL(9,F15:F18)</f>
        <v>118</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117</v>
      </c>
      <c r="D20" s="1066">
        <f>SUBTOTAL(9,D9:D19)</f>
        <v>117</v>
      </c>
      <c r="E20" s="1067">
        <f>SUBTOTAL(9,E9:E19)</f>
        <v>119</v>
      </c>
      <c r="F20" s="1067">
        <f>SUBTOTAL(9,F9:F19)</f>
        <v>118</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628</v>
      </c>
      <c r="O26" s="1634"/>
      <c r="P26" s="1634"/>
      <c r="Q26" s="1634"/>
      <c r="R26" s="1634"/>
      <c r="S26" s="1634"/>
      <c r="T26" s="1634"/>
      <c r="U26" s="1634"/>
      <c r="V26" s="1634"/>
      <c r="W26" s="1634"/>
      <c r="Y26" s="1634" t="s">
        <v>629</v>
      </c>
      <c r="Z26" s="1634"/>
      <c r="AA26" s="1634"/>
      <c r="AB26" s="1634"/>
      <c r="AC26" s="1634"/>
      <c r="AD26" s="1634"/>
    </row>
    <row r="28" spans="1:78">
      <c r="N28" s="1026" t="s">
        <v>630</v>
      </c>
      <c r="O28" s="1635" t="s">
        <v>631</v>
      </c>
      <c r="P28" s="1635"/>
      <c r="Q28" s="1635"/>
      <c r="R28" s="1635"/>
      <c r="S28" s="1635"/>
      <c r="T28" s="1635"/>
      <c r="U28" s="1635"/>
      <c r="V28" s="1635"/>
      <c r="W28" s="1635"/>
      <c r="Y28" s="1026" t="s">
        <v>630</v>
      </c>
      <c r="Z28" s="1636" t="s">
        <v>632</v>
      </c>
      <c r="AA28" s="1636"/>
      <c r="AB28" s="1636"/>
      <c r="AC28" s="1636"/>
      <c r="AD28" s="1636"/>
    </row>
    <row r="29" spans="1:78">
      <c r="N29" s="1026" t="s">
        <v>633</v>
      </c>
      <c r="O29" s="1635" t="s">
        <v>634</v>
      </c>
      <c r="P29" s="1635"/>
      <c r="Q29" s="1635"/>
      <c r="R29" s="1635"/>
      <c r="S29" s="1635"/>
      <c r="T29" s="1635"/>
      <c r="U29" s="1635"/>
      <c r="V29" s="1635"/>
      <c r="W29" s="1635"/>
      <c r="Y29" s="1026" t="s">
        <v>633</v>
      </c>
      <c r="Z29" s="1636" t="s">
        <v>635</v>
      </c>
      <c r="AA29" s="1636"/>
      <c r="AB29" s="1636"/>
      <c r="AC29" s="1636"/>
      <c r="AD29" s="1636"/>
    </row>
    <row r="30" spans="1:78">
      <c r="N30" s="1026" t="s">
        <v>636</v>
      </c>
      <c r="O30" s="1635" t="s">
        <v>637</v>
      </c>
      <c r="P30" s="1635"/>
      <c r="Q30" s="1635"/>
      <c r="R30" s="1635"/>
      <c r="S30" s="1635"/>
      <c r="T30" s="1635"/>
      <c r="U30" s="1635"/>
      <c r="V30" s="1635"/>
      <c r="W30" s="1635"/>
      <c r="Y30" s="1026" t="s">
        <v>638</v>
      </c>
      <c r="Z30" s="1636" t="s">
        <v>837</v>
      </c>
      <c r="AA30" s="1636"/>
      <c r="AB30" s="1636"/>
      <c r="AC30" s="1636"/>
      <c r="AD30" s="1636"/>
    </row>
    <row r="31" spans="1:78">
      <c r="N31" s="1026" t="s">
        <v>639</v>
      </c>
      <c r="O31" s="1635" t="s">
        <v>640</v>
      </c>
      <c r="P31" s="1635"/>
      <c r="Q31" s="1635"/>
      <c r="R31" s="1635"/>
      <c r="S31" s="1635"/>
      <c r="T31" s="1635"/>
      <c r="U31" s="1635"/>
      <c r="V31" s="1635"/>
      <c r="W31" s="1635"/>
      <c r="Y31" s="1026" t="s">
        <v>641</v>
      </c>
      <c r="Z31" s="1636" t="s">
        <v>838</v>
      </c>
      <c r="AA31" s="1636"/>
      <c r="AB31" s="1636"/>
      <c r="AC31" s="1636"/>
      <c r="AD31" s="1636"/>
    </row>
    <row r="32" spans="1:78">
      <c r="N32" s="1026" t="s">
        <v>722</v>
      </c>
      <c r="O32" s="1635" t="s">
        <v>723</v>
      </c>
      <c r="P32" s="1635"/>
      <c r="Q32" s="1635"/>
      <c r="R32" s="1635"/>
      <c r="S32" s="1635"/>
      <c r="T32" s="1635"/>
      <c r="U32" s="1635"/>
      <c r="V32" s="1635"/>
      <c r="W32" s="1635"/>
      <c r="Y32" s="1026" t="s">
        <v>636</v>
      </c>
      <c r="Z32" s="1636" t="s">
        <v>637</v>
      </c>
      <c r="AA32" s="1636"/>
      <c r="AB32" s="1636"/>
      <c r="AC32" s="1636"/>
      <c r="AD32" s="1636"/>
    </row>
    <row r="33" spans="14:30">
      <c r="N33" s="1026" t="s">
        <v>642</v>
      </c>
      <c r="O33" s="1635" t="s">
        <v>643</v>
      </c>
      <c r="P33" s="1635"/>
      <c r="Q33" s="1635"/>
      <c r="R33" s="1635"/>
      <c r="S33" s="1635"/>
      <c r="T33" s="1635"/>
      <c r="U33" s="1635"/>
      <c r="V33" s="1635"/>
      <c r="W33" s="1635"/>
      <c r="Y33" s="1026" t="s">
        <v>639</v>
      </c>
      <c r="Z33" s="1636" t="s">
        <v>640</v>
      </c>
      <c r="AA33" s="1636"/>
      <c r="AB33" s="1636"/>
      <c r="AC33" s="1636"/>
      <c r="AD33" s="1636"/>
    </row>
    <row r="34" spans="14:30">
      <c r="N34" s="1026" t="s">
        <v>644</v>
      </c>
      <c r="O34" s="1635" t="s">
        <v>645</v>
      </c>
      <c r="P34" s="1635"/>
      <c r="Q34" s="1635"/>
      <c r="R34" s="1635"/>
      <c r="S34" s="1635"/>
      <c r="T34" s="1635"/>
      <c r="U34" s="1635"/>
      <c r="V34" s="1635"/>
      <c r="W34" s="1635"/>
      <c r="Y34" s="1026" t="s">
        <v>722</v>
      </c>
      <c r="Z34" s="1636" t="s">
        <v>862</v>
      </c>
      <c r="AA34" s="1636"/>
      <c r="AB34" s="1636"/>
      <c r="AC34" s="1636"/>
      <c r="AD34" s="1636"/>
    </row>
    <row r="35" spans="14:30">
      <c r="N35" s="1026" t="s">
        <v>638</v>
      </c>
      <c r="O35" s="1635" t="s">
        <v>835</v>
      </c>
      <c r="P35" s="1635"/>
      <c r="Q35" s="1635"/>
      <c r="R35" s="1635"/>
      <c r="S35" s="1635"/>
      <c r="T35" s="1635"/>
      <c r="U35" s="1635"/>
      <c r="V35" s="1635"/>
      <c r="W35" s="1635"/>
      <c r="Y35" s="1026" t="s">
        <v>646</v>
      </c>
      <c r="Z35" s="1636" t="s">
        <v>647</v>
      </c>
      <c r="AA35" s="1636"/>
      <c r="AB35" s="1636"/>
      <c r="AC35" s="1636"/>
      <c r="AD35" s="1636"/>
    </row>
    <row r="36" spans="14:30">
      <c r="N36" s="1026" t="s">
        <v>641</v>
      </c>
      <c r="O36" s="1635" t="s">
        <v>836</v>
      </c>
      <c r="P36" s="1635"/>
      <c r="Q36" s="1635"/>
      <c r="R36" s="1635"/>
      <c r="S36" s="1635"/>
      <c r="T36" s="1635"/>
      <c r="U36" s="1635"/>
      <c r="V36" s="1635"/>
      <c r="W36" s="1635"/>
      <c r="Y36" s="1026" t="s">
        <v>648</v>
      </c>
      <c r="Z36" s="1636" t="s">
        <v>649</v>
      </c>
      <c r="AA36" s="1636"/>
      <c r="AB36" s="1636"/>
      <c r="AC36" s="1636"/>
      <c r="AD36" s="1636"/>
    </row>
    <row r="37" spans="14:30">
      <c r="N37" s="1026" t="s">
        <v>646</v>
      </c>
      <c r="O37" s="1635" t="s">
        <v>650</v>
      </c>
      <c r="P37" s="1635"/>
      <c r="Q37" s="1635"/>
      <c r="R37" s="1635"/>
      <c r="S37" s="1635"/>
      <c r="T37" s="1635"/>
      <c r="U37" s="1635"/>
      <c r="V37" s="1635"/>
      <c r="W37" s="1635"/>
      <c r="Y37" s="1026" t="s">
        <v>651</v>
      </c>
      <c r="Z37" s="1636" t="s">
        <v>652</v>
      </c>
      <c r="AA37" s="1636"/>
      <c r="AB37" s="1636"/>
      <c r="AC37" s="1636"/>
      <c r="AD37" s="1636"/>
    </row>
    <row r="38" spans="14:30">
      <c r="N38" s="1026" t="s">
        <v>653</v>
      </c>
      <c r="O38" s="1635" t="s">
        <v>654</v>
      </c>
      <c r="P38" s="1635"/>
      <c r="Q38" s="1635"/>
      <c r="R38" s="1635"/>
      <c r="S38" s="1635"/>
      <c r="T38" s="1635"/>
      <c r="U38" s="1635"/>
      <c r="V38" s="1635"/>
      <c r="W38" s="1635"/>
      <c r="Y38" s="1026" t="s">
        <v>642</v>
      </c>
      <c r="Z38" s="1636" t="s">
        <v>643</v>
      </c>
      <c r="AA38" s="1636"/>
      <c r="AB38" s="1636"/>
      <c r="AC38" s="1636"/>
      <c r="AD38" s="1636"/>
    </row>
    <row r="39" spans="14:30">
      <c r="N39" s="1026" t="s">
        <v>648</v>
      </c>
      <c r="O39" s="1635" t="s">
        <v>655</v>
      </c>
      <c r="P39" s="1635"/>
      <c r="Q39" s="1635"/>
      <c r="R39" s="1635"/>
      <c r="S39" s="1635"/>
      <c r="T39" s="1635"/>
      <c r="U39" s="1635"/>
      <c r="V39" s="1635"/>
      <c r="W39" s="1635"/>
      <c r="Y39" s="1027" t="s">
        <v>644</v>
      </c>
      <c r="Z39" s="1638" t="s">
        <v>645</v>
      </c>
      <c r="AA39" s="1638"/>
      <c r="AB39" s="1638"/>
      <c r="AC39" s="1638"/>
      <c r="AD39" s="1638"/>
    </row>
    <row r="40" spans="14:30">
      <c r="N40" s="1027" t="s">
        <v>651</v>
      </c>
      <c r="O40" s="1637" t="s">
        <v>656</v>
      </c>
      <c r="P40" s="1637"/>
      <c r="Q40" s="1637"/>
      <c r="R40" s="1637"/>
      <c r="S40" s="1637"/>
      <c r="T40" s="1637"/>
      <c r="U40" s="1637"/>
      <c r="V40" s="1637"/>
      <c r="W40" s="1637"/>
    </row>
  </sheetData>
  <sheetProtection algorithmName="SHA-512" hashValue="MtyxVipCPU9RE5NOc5XcaqvsRVXZIRmmPPn8SQ7GNneMokp+Aanis9L9Tl2whcTDjA//4a3m1V1oBMgPs9Xhcw==" saltValue="zGoOyZPxMJ2E0G8hRa34m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421</v>
      </c>
    </row>
    <row r="9" spans="2:2">
      <c r="B9" s="466"/>
    </row>
    <row r="10" spans="2:2">
      <c r="B10" s="463"/>
    </row>
    <row r="11" spans="2:2" ht="25.5">
      <c r="B11" s="1151" t="s">
        <v>422</v>
      </c>
    </row>
    <row r="12" spans="2:2">
      <c r="B12" s="1152"/>
    </row>
    <row r="13" spans="2:2" ht="76.5">
      <c r="B13" s="1152" t="s">
        <v>423</v>
      </c>
    </row>
    <row r="14" spans="2:2">
      <c r="B14" s="1152"/>
    </row>
    <row r="15" spans="2:2" ht="51">
      <c r="B15" s="1152" t="s">
        <v>424</v>
      </c>
    </row>
    <row r="16" spans="2:2">
      <c r="B16" s="1152"/>
    </row>
    <row r="17" spans="2:2" ht="51">
      <c r="B17" s="1153" t="s">
        <v>425</v>
      </c>
    </row>
  </sheetData>
  <sheetProtection algorithmName="SHA-512" hashValue="puG/kRyiCIEpWmY6/0yoLR42ZMNPWv23KDB5yuszIoje+acVUZFDYMuZUlOrA8GNZycRa1bBruzdx3rGhTYFNQ==" saltValue="m87eGkdMUT83ESd/hV6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400</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151</v>
      </c>
      <c r="BC1" s="31" t="s">
        <v>219</v>
      </c>
      <c r="BD1" s="30" t="s">
        <v>155</v>
      </c>
      <c r="BE1" s="50" t="s">
        <v>158</v>
      </c>
      <c r="BF1" s="31" t="s">
        <v>159</v>
      </c>
      <c r="BG1" s="30" t="s">
        <v>214</v>
      </c>
      <c r="BH1" s="50" t="s">
        <v>215</v>
      </c>
      <c r="BI1" s="31" t="s">
        <v>222</v>
      </c>
      <c r="BJ1" s="30" t="s">
        <v>233</v>
      </c>
      <c r="BK1" s="50" t="s">
        <v>236</v>
      </c>
      <c r="BL1" s="31" t="s">
        <v>237</v>
      </c>
      <c r="BM1" s="30" t="s">
        <v>242</v>
      </c>
      <c r="BN1" s="50"/>
      <c r="BO1" s="31"/>
      <c r="BP1" s="30"/>
      <c r="BQ1" s="50"/>
      <c r="BR1" s="31"/>
      <c r="BS1" s="30"/>
      <c r="BT1" s="50"/>
      <c r="BU1" s="31"/>
      <c r="BV1" s="30" t="s">
        <v>285</v>
      </c>
      <c r="BW1" s="50" t="s">
        <v>286</v>
      </c>
      <c r="BX1" s="31" t="s">
        <v>291</v>
      </c>
      <c r="BY1" s="30" t="s">
        <v>293</v>
      </c>
      <c r="BZ1" s="50" t="s">
        <v>298</v>
      </c>
      <c r="CA1" s="31" t="s">
        <v>299</v>
      </c>
      <c r="CB1" s="30" t="s">
        <v>352</v>
      </c>
      <c r="CC1" s="50" t="s">
        <v>354</v>
      </c>
      <c r="CD1" s="31" t="s">
        <v>356</v>
      </c>
      <c r="CE1" s="30" t="s">
        <v>366</v>
      </c>
      <c r="CF1" s="50" t="s">
        <v>367</v>
      </c>
      <c r="CG1" s="31" t="s">
        <v>368</v>
      </c>
      <c r="CH1" s="30" t="s">
        <v>369</v>
      </c>
      <c r="CI1" s="50" t="s">
        <v>392</v>
      </c>
      <c r="CJ1" s="31" t="s">
        <v>394</v>
      </c>
      <c r="CK1" s="30" t="s">
        <v>232</v>
      </c>
      <c r="CL1" s="50" t="s">
        <v>318</v>
      </c>
      <c r="CM1" s="31" t="s">
        <v>321</v>
      </c>
      <c r="CN1" s="30" t="s">
        <v>336</v>
      </c>
      <c r="CO1" s="50" t="s">
        <v>337</v>
      </c>
      <c r="CP1" s="31" t="s">
        <v>346</v>
      </c>
      <c r="CQ1" s="30" t="s">
        <v>347</v>
      </c>
      <c r="CR1" s="31" t="s">
        <v>348</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410</v>
      </c>
      <c r="DF1" s="31" t="s">
        <v>43</v>
      </c>
      <c r="DG1" s="30" t="s">
        <v>448</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319</v>
      </c>
      <c r="BN5" s="1582"/>
      <c r="BO5" s="1583"/>
      <c r="BP5" s="1582"/>
      <c r="BQ5" s="1583"/>
      <c r="BR5" s="1582"/>
      <c r="BS5" s="1583"/>
      <c r="BT5" s="1582"/>
      <c r="BU5" s="1583"/>
      <c r="BV5" s="1731" t="s">
        <v>274</v>
      </c>
      <c r="BW5" s="1737" t="s">
        <v>254</v>
      </c>
      <c r="BX5" s="1737"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427</v>
      </c>
      <c r="CL5" s="1648" t="s">
        <v>428</v>
      </c>
      <c r="CM5" s="1648" t="s">
        <v>445</v>
      </c>
      <c r="CN5" s="1664" t="s">
        <v>372</v>
      </c>
      <c r="CO5" s="1664" t="s">
        <v>365</v>
      </c>
      <c r="CP5" s="1664" t="s">
        <v>371</v>
      </c>
      <c r="CQ5" s="1667" t="s">
        <v>370</v>
      </c>
      <c r="CR5" s="1667" t="s">
        <v>370</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482</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582</v>
      </c>
      <c r="ED5" s="1744" t="s">
        <v>583</v>
      </c>
      <c r="EE5" s="1744" t="s">
        <v>616</v>
      </c>
      <c r="EF5" s="1744" t="s">
        <v>620</v>
      </c>
      <c r="EG5" s="1747" t="s">
        <v>618</v>
      </c>
      <c r="EH5" s="1747" t="s">
        <v>619</v>
      </c>
      <c r="EI5" s="1747" t="s">
        <v>585</v>
      </c>
      <c r="EJ5" s="1747" t="s">
        <v>586</v>
      </c>
      <c r="EK5" s="1756" t="s">
        <v>663</v>
      </c>
      <c r="EL5" s="1759" t="s">
        <v>679</v>
      </c>
      <c r="EM5" s="1760"/>
      <c r="EN5" s="1761"/>
      <c r="EO5" s="1660" t="s">
        <v>731</v>
      </c>
      <c r="EP5" s="1660" t="s">
        <v>733</v>
      </c>
      <c r="EQ5" s="1660" t="s">
        <v>734</v>
      </c>
      <c r="ER5" s="1660" t="s">
        <v>739</v>
      </c>
      <c r="ES5" s="1660" t="s">
        <v>744</v>
      </c>
      <c r="ET5" s="1753" t="s">
        <v>779</v>
      </c>
      <c r="EU5" s="1753" t="s">
        <v>780</v>
      </c>
      <c r="EV5" s="1657" t="s">
        <v>795</v>
      </c>
      <c r="EW5" s="1657" t="s">
        <v>800</v>
      </c>
      <c r="EX5" s="1654" t="s">
        <v>812</v>
      </c>
      <c r="EY5" s="1642" t="s">
        <v>817</v>
      </c>
      <c r="EZ5" s="1639" t="s">
        <v>861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730</v>
      </c>
      <c r="B7" s="1694"/>
      <c r="C7" s="1697"/>
      <c r="D7" s="66" t="s">
        <v>402</v>
      </c>
      <c r="E7" s="67" t="s">
        <v>128</v>
      </c>
      <c r="F7" s="67" t="s">
        <v>127</v>
      </c>
      <c r="G7" s="121" t="s">
        <v>35</v>
      </c>
      <c r="H7" s="122" t="s">
        <v>403</v>
      </c>
      <c r="I7" s="9" t="s">
        <v>18</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680</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404</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73"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639" t="s">
        <v>681</v>
      </c>
      <c r="EM8" s="639" t="s">
        <v>682</v>
      </c>
      <c r="EN8" s="639" t="s">
        <v>683</v>
      </c>
      <c r="EO8" s="50" t="s">
        <v>732</v>
      </c>
      <c r="EP8" s="50" t="s">
        <v>737</v>
      </c>
      <c r="EQ8" s="469" t="s">
        <v>738</v>
      </c>
      <c r="ER8" s="469">
        <v>148</v>
      </c>
      <c r="ES8" s="469" t="s">
        <v>745</v>
      </c>
      <c r="ET8" s="1136" t="s">
        <v>781</v>
      </c>
      <c r="EU8" s="1136" t="s">
        <v>782</v>
      </c>
      <c r="EV8" s="151" t="s">
        <v>789</v>
      </c>
      <c r="EW8" s="151">
        <v>153</v>
      </c>
      <c r="EX8" s="469" t="s">
        <v>811</v>
      </c>
      <c r="EY8" s="469" t="s">
        <v>816</v>
      </c>
      <c r="EZ8" s="469" t="s">
        <v>860</v>
      </c>
    </row>
    <row r="9" spans="1:156" ht="14.25" customHeight="1">
      <c r="A9" s="20" t="s">
        <v>1012</v>
      </c>
      <c r="B9" s="21" t="s">
        <v>404</v>
      </c>
      <c r="C9" s="22" t="s">
        <v>3</v>
      </c>
      <c r="D9" s="23" t="s">
        <v>20</v>
      </c>
      <c r="E9" s="21" t="s">
        <v>21</v>
      </c>
      <c r="F9" s="21">
        <v>32</v>
      </c>
      <c r="G9" s="6" t="s">
        <v>140</v>
      </c>
      <c r="H9" s="136" t="s">
        <v>1017</v>
      </c>
      <c r="I9" s="179" t="s">
        <v>769</v>
      </c>
      <c r="J9" s="180" t="s">
        <v>765</v>
      </c>
      <c r="K9" s="180" t="s">
        <v>807</v>
      </c>
      <c r="L9" s="180" t="s">
        <v>772</v>
      </c>
      <c r="M9" s="180" t="s">
        <v>490</v>
      </c>
      <c r="N9" s="180" t="s">
        <v>505</v>
      </c>
      <c r="O9" s="180" t="s">
        <v>226</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764</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826</v>
      </c>
      <c r="EP9" s="992"/>
      <c r="EQ9" s="992"/>
      <c r="ER9" s="995">
        <v>1200</v>
      </c>
      <c r="ES9" s="992"/>
      <c r="ET9" s="1137"/>
      <c r="EU9" s="1137"/>
      <c r="EV9" s="1150"/>
      <c r="EW9" s="1150"/>
      <c r="EX9" s="155"/>
      <c r="EY9" s="155"/>
      <c r="EZ9" s="155"/>
    </row>
    <row r="10" spans="1:156" ht="14.25" customHeight="1">
      <c r="A10" s="20" t="s">
        <v>1018</v>
      </c>
      <c r="B10" s="21" t="s">
        <v>404</v>
      </c>
      <c r="C10" s="22" t="s">
        <v>3</v>
      </c>
      <c r="D10" s="23" t="s">
        <v>82</v>
      </c>
      <c r="E10" s="21" t="s">
        <v>82</v>
      </c>
      <c r="F10" s="21" t="s">
        <v>141</v>
      </c>
      <c r="G10" s="6" t="s">
        <v>140</v>
      </c>
      <c r="H10" s="28"/>
      <c r="I10" s="179" t="s">
        <v>873</v>
      </c>
      <c r="J10" s="180" t="s">
        <v>866</v>
      </c>
      <c r="K10" s="180" t="s">
        <v>869</v>
      </c>
      <c r="L10" s="180" t="s">
        <v>874</v>
      </c>
      <c r="M10" s="180" t="s">
        <v>513</v>
      </c>
      <c r="N10" s="180" t="s">
        <v>142</v>
      </c>
      <c r="O10" s="180" t="s">
        <v>229</v>
      </c>
      <c r="P10" s="180" t="s">
        <v>143</v>
      </c>
      <c r="Q10" s="180" t="s">
        <v>144</v>
      </c>
      <c r="R10" s="180" t="s">
        <v>145</v>
      </c>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v>0</v>
      </c>
      <c r="AP10" s="154">
        <v>0</v>
      </c>
      <c r="AQ10" s="153">
        <v>0</v>
      </c>
      <c r="AR10" s="154">
        <v>0</v>
      </c>
      <c r="AS10" s="338" t="s">
        <v>758</v>
      </c>
      <c r="AT10" s="191"/>
      <c r="AU10" s="199"/>
      <c r="AV10" s="191"/>
      <c r="AW10" s="199"/>
      <c r="AX10" s="191"/>
      <c r="AY10" s="128" t="str">
        <f t="shared" ref="AY10:BC10" si="0">IF(ISNUMBER(S10),S10," - ")</f>
        <v xml:space="preserve"> - </v>
      </c>
      <c r="AZ10" s="129" t="str">
        <f t="shared" si="0"/>
        <v xml:space="preserve"> - </v>
      </c>
      <c r="BA10" s="129" t="str">
        <f t="shared" si="0"/>
        <v xml:space="preserve"> - </v>
      </c>
      <c r="BB10" s="129" t="str">
        <f t="shared" si="0"/>
        <v xml:space="preserve"> - </v>
      </c>
      <c r="BC10" s="125" t="str">
        <f t="shared" si="0"/>
        <v xml:space="preserve"> - </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0</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752</v>
      </c>
      <c r="EP10" s="338"/>
      <c r="EQ10" s="338"/>
      <c r="ER10" s="996">
        <v>1600</v>
      </c>
      <c r="ES10" s="338"/>
      <c r="ET10" s="1137"/>
      <c r="EU10" s="1137"/>
      <c r="EV10" s="1150"/>
      <c r="EW10" s="1150"/>
      <c r="EX10" s="288"/>
      <c r="EY10" s="288"/>
      <c r="EZ10" s="155"/>
    </row>
    <row r="11" spans="1:156" ht="14.25" customHeight="1" thickBot="1">
      <c r="A11" s="20" t="s">
        <v>1013</v>
      </c>
      <c r="B11" s="21" t="s">
        <v>404</v>
      </c>
      <c r="C11" s="22" t="s">
        <v>3</v>
      </c>
      <c r="D11" s="23" t="s">
        <v>20</v>
      </c>
      <c r="E11" s="21" t="s">
        <v>51</v>
      </c>
      <c r="F11" s="21">
        <v>32</v>
      </c>
      <c r="G11" s="6" t="s">
        <v>140</v>
      </c>
      <c r="H11" s="28" t="s">
        <v>36</v>
      </c>
      <c r="I11" s="181" t="s">
        <v>769</v>
      </c>
      <c r="J11" s="182" t="s">
        <v>765</v>
      </c>
      <c r="K11" s="182" t="s">
        <v>807</v>
      </c>
      <c r="L11" s="182" t="s">
        <v>772</v>
      </c>
      <c r="M11" s="182" t="s">
        <v>490</v>
      </c>
      <c r="N11" s="182" t="s">
        <v>505</v>
      </c>
      <c r="O11" s="180" t="s">
        <v>226</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766</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827</v>
      </c>
      <c r="EP11" s="993"/>
      <c r="EQ11" s="993"/>
      <c r="ER11" s="997">
        <v>1323</v>
      </c>
      <c r="ES11" s="993"/>
      <c r="ET11" s="1137"/>
      <c r="EU11" s="1137"/>
      <c r="EV11" s="1150"/>
      <c r="EW11" s="1150"/>
      <c r="EX11" s="288"/>
      <c r="EY11" s="288"/>
      <c r="EZ11" s="155"/>
    </row>
    <row r="12" spans="1:156" ht="14.25" customHeight="1">
      <c r="A12" s="20" t="s">
        <v>1015</v>
      </c>
      <c r="B12" s="21" t="s">
        <v>404</v>
      </c>
      <c r="C12" s="22" t="s">
        <v>3</v>
      </c>
      <c r="D12" s="23" t="s">
        <v>20</v>
      </c>
      <c r="E12" s="21" t="s">
        <v>20</v>
      </c>
      <c r="F12" s="21">
        <v>31</v>
      </c>
      <c r="G12" s="6" t="s">
        <v>140</v>
      </c>
      <c r="H12" s="214"/>
      <c r="I12" s="181">
        <v>243</v>
      </c>
      <c r="J12" s="182">
        <v>100</v>
      </c>
      <c r="K12" s="182">
        <v>73</v>
      </c>
      <c r="L12" s="182">
        <v>270</v>
      </c>
      <c r="M12" s="182">
        <v>26</v>
      </c>
      <c r="N12" s="182">
        <v>21</v>
      </c>
      <c r="O12" s="180">
        <v>38</v>
      </c>
      <c r="P12" s="182">
        <v>31</v>
      </c>
      <c r="Q12" s="182">
        <v>37</v>
      </c>
      <c r="R12" s="182">
        <v>388</v>
      </c>
      <c r="S12" s="182">
        <v>305</v>
      </c>
      <c r="T12" s="182">
        <v>194</v>
      </c>
      <c r="U12" s="182">
        <v>144</v>
      </c>
      <c r="V12" s="182">
        <v>355</v>
      </c>
      <c r="W12" s="182">
        <v>80</v>
      </c>
      <c r="X12" s="188">
        <v>24</v>
      </c>
      <c r="Y12" s="190">
        <v>1</v>
      </c>
      <c r="Z12" s="180">
        <v>5</v>
      </c>
      <c r="AA12" s="180">
        <v>5</v>
      </c>
      <c r="AB12" s="180">
        <v>1</v>
      </c>
      <c r="AC12" s="182">
        <v>0</v>
      </c>
      <c r="AD12" s="182">
        <v>0</v>
      </c>
      <c r="AE12" s="182">
        <v>0</v>
      </c>
      <c r="AF12" s="188">
        <v>0</v>
      </c>
      <c r="AG12" s="201">
        <v>2</v>
      </c>
      <c r="AH12" s="182">
        <v>2</v>
      </c>
      <c r="AI12" s="182">
        <v>3</v>
      </c>
      <c r="AJ12" s="202">
        <v>1</v>
      </c>
      <c r="AK12" s="181">
        <v>0</v>
      </c>
      <c r="AL12" s="182">
        <v>0</v>
      </c>
      <c r="AM12" s="182">
        <v>0</v>
      </c>
      <c r="AN12" s="188">
        <v>0</v>
      </c>
      <c r="AO12" s="258">
        <v>1</v>
      </c>
      <c r="AP12" s="154">
        <v>1</v>
      </c>
      <c r="AQ12" s="154">
        <v>1</v>
      </c>
      <c r="AR12" s="153">
        <v>1</v>
      </c>
      <c r="AS12" s="339" t="s">
        <v>767</v>
      </c>
      <c r="AT12" s="202"/>
      <c r="AU12" s="201"/>
      <c r="AV12" s="202"/>
      <c r="AW12" s="201"/>
      <c r="AX12" s="202"/>
      <c r="AY12" s="126">
        <f t="shared" si="1"/>
        <v>307</v>
      </c>
      <c r="AZ12" s="127">
        <f t="shared" si="1"/>
        <v>196</v>
      </c>
      <c r="BA12" s="127">
        <f t="shared" si="1"/>
        <v>147</v>
      </c>
      <c r="BB12" s="127">
        <f t="shared" si="1"/>
        <v>356</v>
      </c>
      <c r="BC12" s="125">
        <f>IF(ISNUMBER(X12),X12," - ")</f>
        <v>24</v>
      </c>
      <c r="BD12" s="126">
        <f t="shared" si="2"/>
        <v>0.75</v>
      </c>
      <c r="BE12" s="127">
        <f t="shared" si="3"/>
        <v>2.4217687074829932</v>
      </c>
      <c r="BF12" s="127">
        <f t="shared" si="4"/>
        <v>0.16326530612244897</v>
      </c>
      <c r="BG12" s="195">
        <f t="shared" si="5"/>
        <v>3.4217687074829932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828</v>
      </c>
      <c r="EP12" s="994"/>
      <c r="EQ12" s="994"/>
      <c r="ER12" s="995">
        <v>680</v>
      </c>
      <c r="ES12" s="994"/>
      <c r="ET12" s="1137"/>
      <c r="EU12" s="1137"/>
      <c r="EV12" s="1150"/>
      <c r="EW12" s="1150"/>
      <c r="EX12" s="288"/>
      <c r="EY12" s="288"/>
      <c r="EZ12" s="155"/>
    </row>
    <row r="13" spans="1:156" ht="14.25" customHeight="1" thickBot="1">
      <c r="A13" s="74" t="s">
        <v>0</v>
      </c>
      <c r="B13" s="75" t="s">
        <v>404</v>
      </c>
      <c r="C13" s="76" t="s">
        <v>4</v>
      </c>
      <c r="D13" s="77"/>
      <c r="E13" s="78"/>
      <c r="F13" s="78"/>
      <c r="G13" s="79"/>
      <c r="H13" s="80"/>
      <c r="I13" s="183">
        <f t="shared" ref="I13:AE13" si="6">SUBTOTAL(9,I8:I12)</f>
        <v>243</v>
      </c>
      <c r="J13" s="183">
        <f t="shared" si="6"/>
        <v>100</v>
      </c>
      <c r="K13" s="183">
        <f t="shared" si="6"/>
        <v>73</v>
      </c>
      <c r="L13" s="183">
        <f t="shared" si="6"/>
        <v>270</v>
      </c>
      <c r="M13" s="183">
        <f t="shared" si="6"/>
        <v>26</v>
      </c>
      <c r="N13" s="183">
        <f t="shared" si="6"/>
        <v>21</v>
      </c>
      <c r="O13" s="183">
        <f t="shared" si="6"/>
        <v>38</v>
      </c>
      <c r="P13" s="183">
        <f t="shared" si="6"/>
        <v>31</v>
      </c>
      <c r="Q13" s="183">
        <f t="shared" si="6"/>
        <v>37</v>
      </c>
      <c r="R13" s="183">
        <f t="shared" si="6"/>
        <v>388</v>
      </c>
      <c r="S13" s="183">
        <f t="shared" si="6"/>
        <v>305</v>
      </c>
      <c r="T13" s="183">
        <f t="shared" si="6"/>
        <v>194</v>
      </c>
      <c r="U13" s="183">
        <f t="shared" si="6"/>
        <v>144</v>
      </c>
      <c r="V13" s="183">
        <f t="shared" si="6"/>
        <v>355</v>
      </c>
      <c r="W13" s="183">
        <f t="shared" si="6"/>
        <v>80</v>
      </c>
      <c r="X13" s="183">
        <f t="shared" si="6"/>
        <v>24</v>
      </c>
      <c r="Y13" s="183">
        <f t="shared" si="6"/>
        <v>1</v>
      </c>
      <c r="Z13" s="183">
        <f t="shared" si="6"/>
        <v>5</v>
      </c>
      <c r="AA13" s="183">
        <f t="shared" si="6"/>
        <v>5</v>
      </c>
      <c r="AB13" s="183">
        <f t="shared" si="6"/>
        <v>1</v>
      </c>
      <c r="AC13" s="183">
        <f t="shared" si="6"/>
        <v>0</v>
      </c>
      <c r="AD13" s="183">
        <f t="shared" si="6"/>
        <v>0</v>
      </c>
      <c r="AE13" s="183">
        <f t="shared" si="6"/>
        <v>0</v>
      </c>
      <c r="AF13" s="183">
        <f>SUBTOTAL(9,AF9:AF12)</f>
        <v>0</v>
      </c>
      <c r="AG13" s="183">
        <f t="shared" ref="AG13:AT13" si="7">SUBTOTAL(9,AG8:AG12)</f>
        <v>2</v>
      </c>
      <c r="AH13" s="183">
        <f t="shared" si="7"/>
        <v>2</v>
      </c>
      <c r="AI13" s="183">
        <f t="shared" si="7"/>
        <v>3</v>
      </c>
      <c r="AJ13" s="183">
        <f t="shared" si="7"/>
        <v>1</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307</v>
      </c>
      <c r="AZ13" s="183">
        <f>SUBTOTAL(9,AZ8:AZ12)</f>
        <v>196</v>
      </c>
      <c r="BA13" s="183">
        <f>SUBTOTAL(9,BA8:BA12)</f>
        <v>147</v>
      </c>
      <c r="BB13" s="183">
        <f>SUBTOTAL(9,BB8:BB12)</f>
        <v>356</v>
      </c>
      <c r="BC13" s="183">
        <f>SUBTOTAL(9,BC8:BC12)</f>
        <v>24</v>
      </c>
      <c r="BD13" s="204">
        <f>IF(ISNUMBER(BA13/AZ13),BA13/AZ13," - ")</f>
        <v>0.75</v>
      </c>
      <c r="BE13" s="205">
        <f>IF(ISNUMBER(BB13/BA13),BB13/BA13, " - ")</f>
        <v>2.4217687074829932</v>
      </c>
      <c r="BF13" s="205">
        <f>IF(ISNUMBER(BC13/BA13),BC13/BA13, " - ")</f>
        <v>0.16326530612244897</v>
      </c>
      <c r="BG13" s="206">
        <f>IF(ISNUMBER((AY13+AZ13)/BA13),(AY13+AZ13)/BA13," - ")</f>
        <v>3.4217687074829932</v>
      </c>
      <c r="BH13" s="139">
        <f>SUBTOTAL(9,BH8:BH12)</f>
        <v>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404</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1014</v>
      </c>
      <c r="B15" s="21" t="s">
        <v>404</v>
      </c>
      <c r="C15" s="22" t="s">
        <v>3</v>
      </c>
      <c r="D15" s="23" t="s">
        <v>20</v>
      </c>
      <c r="E15" s="21" t="s">
        <v>22</v>
      </c>
      <c r="F15" s="21">
        <v>33</v>
      </c>
      <c r="G15" s="6" t="s">
        <v>140</v>
      </c>
      <c r="H15" s="24"/>
      <c r="I15" s="181" t="s">
        <v>488</v>
      </c>
      <c r="J15" s="182" t="s">
        <v>484</v>
      </c>
      <c r="K15" s="182" t="s">
        <v>485</v>
      </c>
      <c r="L15" s="182" t="s">
        <v>486</v>
      </c>
      <c r="M15" s="182" t="s">
        <v>491</v>
      </c>
      <c r="N15" s="182" t="s">
        <v>152</v>
      </c>
      <c r="O15" s="180" t="s">
        <v>227</v>
      </c>
      <c r="P15" s="182" t="s">
        <v>472</v>
      </c>
      <c r="Q15" s="182" t="s">
        <v>473</v>
      </c>
      <c r="R15" s="182" t="s">
        <v>474</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521</v>
      </c>
      <c r="AT15" s="202" t="s">
        <v>328</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1005</v>
      </c>
      <c r="EP15" s="993"/>
      <c r="EQ15" s="993"/>
      <c r="ER15" s="997">
        <v>3300</v>
      </c>
      <c r="ES15" s="993"/>
      <c r="ET15" s="1137"/>
      <c r="EU15" s="1137"/>
      <c r="EV15" s="1150"/>
      <c r="EW15" s="1150"/>
      <c r="EX15" s="154"/>
      <c r="EY15" s="154"/>
      <c r="EZ15" s="154"/>
    </row>
    <row r="16" spans="1:156" ht="14.25" customHeight="1">
      <c r="A16" s="1193" t="s">
        <v>1019</v>
      </c>
      <c r="B16" s="21" t="s">
        <v>404</v>
      </c>
      <c r="C16" s="22" t="s">
        <v>3</v>
      </c>
      <c r="D16" s="23" t="s">
        <v>20</v>
      </c>
      <c r="E16" s="21" t="s">
        <v>215</v>
      </c>
      <c r="F16" s="21" t="s">
        <v>81</v>
      </c>
      <c r="G16" s="6" t="s">
        <v>140</v>
      </c>
      <c r="H16" s="24"/>
      <c r="I16" s="181" t="s">
        <v>488</v>
      </c>
      <c r="J16" s="182" t="s">
        <v>484</v>
      </c>
      <c r="K16" s="182" t="s">
        <v>485</v>
      </c>
      <c r="L16" s="182" t="s">
        <v>486</v>
      </c>
      <c r="M16" s="182" t="s">
        <v>491</v>
      </c>
      <c r="N16" s="182" t="s">
        <v>152</v>
      </c>
      <c r="O16" s="180" t="s">
        <v>227</v>
      </c>
      <c r="P16" s="182" t="s">
        <v>472</v>
      </c>
      <c r="Q16" s="182" t="s">
        <v>473</v>
      </c>
      <c r="R16" s="182" t="s">
        <v>474</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521</v>
      </c>
      <c r="AT16" s="202" t="s">
        <v>328</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1005</v>
      </c>
      <c r="EP16" s="993"/>
      <c r="EQ16" s="993"/>
      <c r="ER16" s="997">
        <v>3300</v>
      </c>
      <c r="ES16" s="993"/>
      <c r="ET16" s="1137"/>
      <c r="EU16" s="1137"/>
      <c r="EV16" s="1150"/>
      <c r="EW16" s="1150"/>
      <c r="EX16" s="154"/>
      <c r="EY16" s="154"/>
      <c r="EZ16" s="154"/>
    </row>
    <row r="17" spans="1:156" ht="14.25" customHeight="1">
      <c r="A17" s="20" t="s">
        <v>1015</v>
      </c>
      <c r="B17" s="21" t="s">
        <v>404</v>
      </c>
      <c r="C17" s="22" t="s">
        <v>3</v>
      </c>
      <c r="D17" s="23" t="s">
        <v>20</v>
      </c>
      <c r="E17" s="21" t="s">
        <v>20</v>
      </c>
      <c r="F17" s="21">
        <v>31</v>
      </c>
      <c r="G17" s="6" t="s">
        <v>140</v>
      </c>
      <c r="H17" s="24"/>
      <c r="I17" s="181">
        <v>117</v>
      </c>
      <c r="J17" s="182">
        <v>119</v>
      </c>
      <c r="K17" s="182">
        <v>118</v>
      </c>
      <c r="L17" s="182">
        <v>118</v>
      </c>
      <c r="M17" s="182">
        <v>21</v>
      </c>
      <c r="N17" s="182">
        <v>78</v>
      </c>
      <c r="O17" s="180">
        <v>0</v>
      </c>
      <c r="P17" s="182">
        <v>4</v>
      </c>
      <c r="Q17" s="182">
        <v>8</v>
      </c>
      <c r="R17" s="182">
        <v>15</v>
      </c>
      <c r="S17" s="182">
        <v>183</v>
      </c>
      <c r="T17" s="182">
        <v>111</v>
      </c>
      <c r="U17" s="182">
        <v>105</v>
      </c>
      <c r="V17" s="182">
        <v>189</v>
      </c>
      <c r="W17" s="182">
        <v>16</v>
      </c>
      <c r="X17" s="188">
        <v>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487</v>
      </c>
      <c r="AT17" s="202"/>
      <c r="AU17" s="201"/>
      <c r="AV17" s="202"/>
      <c r="AW17" s="201"/>
      <c r="AX17" s="202"/>
      <c r="AY17" s="126">
        <f t="shared" si="9"/>
        <v>183</v>
      </c>
      <c r="AZ17" s="127">
        <f t="shared" si="9"/>
        <v>111</v>
      </c>
      <c r="BA17" s="127">
        <f t="shared" si="9"/>
        <v>105</v>
      </c>
      <c r="BB17" s="127">
        <f t="shared" si="9"/>
        <v>189</v>
      </c>
      <c r="BC17" s="125">
        <f>IF(ISNUMBER(W17),W17," - ")</f>
        <v>16</v>
      </c>
      <c r="BD17" s="126">
        <f t="shared" ref="BD17" si="16">IF(ISNUMBER(BA17/AZ17),BA17/AZ17," - ")</f>
        <v>0.94594594594594594</v>
      </c>
      <c r="BE17" s="127">
        <f t="shared" ref="BE17" si="17">IF(ISNUMBER(BB17/BA17),BB17/BA17, " - ")</f>
        <v>1.8</v>
      </c>
      <c r="BF17" s="127">
        <f t="shared" ref="BF17" si="18">IF(ISNUMBER(BC17/BA17),BC17/BA17, " - ")</f>
        <v>0.15238095238095239</v>
      </c>
      <c r="BG17" s="195">
        <f t="shared" si="10"/>
        <v>2.8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1016</v>
      </c>
      <c r="EP17" s="993"/>
      <c r="EQ17" s="993"/>
      <c r="ER17" s="997">
        <v>1000</v>
      </c>
      <c r="ES17" s="993"/>
      <c r="ET17" s="1137"/>
      <c r="EU17" s="1137"/>
      <c r="EV17" s="1150"/>
      <c r="EW17" s="1150"/>
      <c r="EX17" s="154"/>
      <c r="EY17" s="154"/>
      <c r="EZ17" s="154"/>
    </row>
    <row r="18" spans="1:156" ht="14.25" customHeight="1">
      <c r="A18" s="20" t="s">
        <v>1018</v>
      </c>
      <c r="B18" s="21" t="s">
        <v>404</v>
      </c>
      <c r="C18" s="22" t="s">
        <v>3</v>
      </c>
      <c r="D18" s="23" t="s">
        <v>82</v>
      </c>
      <c r="E18" s="21" t="s">
        <v>82</v>
      </c>
      <c r="F18" s="21" t="s">
        <v>141</v>
      </c>
      <c r="G18" s="6" t="s">
        <v>140</v>
      </c>
      <c r="H18" s="24"/>
      <c r="I18" s="181" t="s">
        <v>147</v>
      </c>
      <c r="J18" s="182" t="s">
        <v>880</v>
      </c>
      <c r="K18" s="182" t="s">
        <v>148</v>
      </c>
      <c r="L18" s="182" t="s">
        <v>899</v>
      </c>
      <c r="M18" s="182" t="s">
        <v>514</v>
      </c>
      <c r="N18" s="182" t="s">
        <v>153</v>
      </c>
      <c r="O18" s="182" t="s">
        <v>228</v>
      </c>
      <c r="P18" s="182" t="s">
        <v>469</v>
      </c>
      <c r="Q18" s="182" t="s">
        <v>470</v>
      </c>
      <c r="R18" s="182" t="s">
        <v>471</v>
      </c>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v>0</v>
      </c>
      <c r="AP18" s="154">
        <v>0</v>
      </c>
      <c r="AQ18" s="153">
        <v>0</v>
      </c>
      <c r="AR18" s="154">
        <v>0</v>
      </c>
      <c r="AS18" s="338" t="s">
        <v>881</v>
      </c>
      <c r="AT18" s="208"/>
      <c r="AU18" s="199"/>
      <c r="AV18" s="208"/>
      <c r="AW18" s="199"/>
      <c r="AX18" s="208"/>
      <c r="AY18" s="128" t="str">
        <f t="shared" ref="AY18:BB18" si="19">IF(ISNUMBER(S18),S18," - ")</f>
        <v xml:space="preserve"> - </v>
      </c>
      <c r="AZ18" s="129" t="str">
        <f t="shared" si="19"/>
        <v xml:space="preserve"> - </v>
      </c>
      <c r="BA18" s="129" t="str">
        <f t="shared" si="19"/>
        <v xml:space="preserve"> - </v>
      </c>
      <c r="BB18" s="129" t="str">
        <f t="shared" si="19"/>
        <v xml:space="preserve"> - </v>
      </c>
      <c r="BC18" s="125" t="str">
        <f>IF(ISNUMBER(W18),W18," - ")</f>
        <v xml:space="preserve"> - </v>
      </c>
      <c r="BD18" s="126" t="str">
        <f>IF(ISNUMBER(BA18/AZ18),BA18/AZ18," - ")</f>
        <v xml:space="preserve"> - </v>
      </c>
      <c r="BE18" s="127" t="str">
        <f>IF(ISNUMBER(BB18/BA18),BB18/BA18, " - ")</f>
        <v xml:space="preserve"> - </v>
      </c>
      <c r="BF18" s="127" t="str">
        <f>IF(ISNUMBER(BC18/BA18),BC18/BA18, " - ")</f>
        <v xml:space="preserve"> - </v>
      </c>
      <c r="BG18" s="195" t="str">
        <f>IF(ISNUMBER((AY18+AZ18)/BA18),(AY18+AZ18)/BA18," - ")</f>
        <v xml:space="preserve"> - </v>
      </c>
      <c r="BH18" s="154">
        <v>0</v>
      </c>
      <c r="BI18" s="154"/>
      <c r="BJ18" s="199"/>
      <c r="BK18" s="153"/>
      <c r="BL18" s="153"/>
      <c r="BM18" s="153">
        <v>1800</v>
      </c>
      <c r="BN18" s="153"/>
      <c r="BO18" s="153"/>
      <c r="BP18" s="153"/>
      <c r="BQ18" s="153"/>
      <c r="BR18" s="153"/>
      <c r="BS18" s="153"/>
      <c r="BT18" s="153"/>
      <c r="BU18" s="153"/>
      <c r="BV18" s="153"/>
      <c r="BW18" s="153"/>
      <c r="BX18" s="153"/>
      <c r="BY18" s="173" t="s">
        <v>1006</v>
      </c>
      <c r="BZ18" s="173" t="s">
        <v>1007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880</v>
      </c>
      <c r="EP18" s="338"/>
      <c r="EQ18" s="338"/>
      <c r="ER18" s="996">
        <v>1600</v>
      </c>
      <c r="ES18" s="338"/>
      <c r="ET18" s="1137"/>
      <c r="EU18" s="1137"/>
      <c r="EV18" s="1150"/>
      <c r="EW18" s="1150"/>
      <c r="EX18" s="154"/>
      <c r="EY18" s="154"/>
      <c r="EZ18" s="154"/>
    </row>
    <row r="19" spans="1:156" ht="14.25" customHeight="1" thickBot="1">
      <c r="A19" s="74" t="s">
        <v>0</v>
      </c>
      <c r="B19" s="75" t="s">
        <v>404</v>
      </c>
      <c r="C19" s="76" t="s">
        <v>4</v>
      </c>
      <c r="D19" s="77"/>
      <c r="E19" s="78"/>
      <c r="F19" s="78"/>
      <c r="G19" s="79"/>
      <c r="H19" s="80"/>
      <c r="I19" s="183">
        <f t="shared" ref="I19:AT19" si="20">SUBTOTAL(9,I14:I18)</f>
        <v>117</v>
      </c>
      <c r="J19" s="183">
        <f t="shared" si="20"/>
        <v>119</v>
      </c>
      <c r="K19" s="183">
        <f t="shared" si="20"/>
        <v>118</v>
      </c>
      <c r="L19" s="183">
        <f t="shared" si="20"/>
        <v>118</v>
      </c>
      <c r="M19" s="183">
        <f t="shared" si="20"/>
        <v>21</v>
      </c>
      <c r="N19" s="183">
        <f t="shared" si="20"/>
        <v>78</v>
      </c>
      <c r="O19" s="183">
        <f t="shared" si="20"/>
        <v>0</v>
      </c>
      <c r="P19" s="183">
        <f t="shared" si="20"/>
        <v>4</v>
      </c>
      <c r="Q19" s="183">
        <f t="shared" si="20"/>
        <v>8</v>
      </c>
      <c r="R19" s="183">
        <f t="shared" si="20"/>
        <v>15</v>
      </c>
      <c r="S19" s="183">
        <f t="shared" si="20"/>
        <v>183</v>
      </c>
      <c r="T19" s="183">
        <f t="shared" si="20"/>
        <v>111</v>
      </c>
      <c r="U19" s="183">
        <f t="shared" si="20"/>
        <v>105</v>
      </c>
      <c r="V19" s="183">
        <f t="shared" si="20"/>
        <v>189</v>
      </c>
      <c r="W19" s="183">
        <f t="shared" si="20"/>
        <v>16</v>
      </c>
      <c r="X19" s="183">
        <f t="shared" si="20"/>
        <v>64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1</v>
      </c>
      <c r="AP19" s="183">
        <f t="shared" si="20"/>
        <v>1</v>
      </c>
      <c r="AQ19" s="183">
        <f t="shared" si="20"/>
        <v>1</v>
      </c>
      <c r="AR19" s="183">
        <f t="shared" si="20"/>
        <v>1</v>
      </c>
      <c r="AS19" s="183">
        <f t="shared" si="20"/>
        <v>0</v>
      </c>
      <c r="AT19" s="183">
        <f t="shared" si="20"/>
        <v>0</v>
      </c>
      <c r="AU19" s="203"/>
      <c r="AV19" s="132"/>
      <c r="AW19" s="203"/>
      <c r="AX19" s="132"/>
      <c r="AY19" s="183">
        <f>SUBTOTAL(9,AY14:AY18)</f>
        <v>183</v>
      </c>
      <c r="AZ19" s="183">
        <f>SUBTOTAL(9,AZ14:AZ18)</f>
        <v>111</v>
      </c>
      <c r="BA19" s="183">
        <f>SUBTOTAL(9,BA14:BA18)</f>
        <v>105</v>
      </c>
      <c r="BB19" s="183">
        <f>SUBTOTAL(9,BB14:BB18)</f>
        <v>189</v>
      </c>
      <c r="BC19" s="183">
        <f>SUBTOTAL(9,BC14:BC18)</f>
        <v>16</v>
      </c>
      <c r="BD19" s="204">
        <f>IF(ISNUMBER(BA19/AZ19),BA19/AZ19," - ")</f>
        <v>0.94594594594594594</v>
      </c>
      <c r="BE19" s="205">
        <f>IF(ISNUMBER(BB19/BA19),BB19/BA19, " - ")</f>
        <v>1.8</v>
      </c>
      <c r="BF19" s="205">
        <f>IF(ISNUMBER(BC19/BA19),BC19/BA19, " - ")</f>
        <v>0.15238095238095239</v>
      </c>
      <c r="BG19" s="206">
        <f>IF(ISNUMBER((AY19+AZ19)/BA19),(AY19+AZ19)/BA19," - ")</f>
        <v>2.8</v>
      </c>
      <c r="BH19" s="183">
        <f>SUBTOTAL(9,BH14:BH18)</f>
        <v>1</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360</v>
      </c>
      <c r="J20" s="134">
        <f t="shared" si="23"/>
        <v>219</v>
      </c>
      <c r="K20" s="134">
        <f t="shared" si="23"/>
        <v>191</v>
      </c>
      <c r="L20" s="134">
        <f t="shared" si="23"/>
        <v>388</v>
      </c>
      <c r="M20" s="134">
        <f t="shared" si="23"/>
        <v>47</v>
      </c>
      <c r="N20" s="134">
        <f t="shared" si="23"/>
        <v>99</v>
      </c>
      <c r="O20" s="134">
        <f t="shared" si="23"/>
        <v>38</v>
      </c>
      <c r="P20" s="134">
        <f t="shared" si="23"/>
        <v>35</v>
      </c>
      <c r="Q20" s="134">
        <f t="shared" si="23"/>
        <v>45</v>
      </c>
      <c r="R20" s="134">
        <f t="shared" si="23"/>
        <v>403</v>
      </c>
      <c r="S20" s="134">
        <f t="shared" si="23"/>
        <v>488</v>
      </c>
      <c r="T20" s="134">
        <f t="shared" si="23"/>
        <v>305</v>
      </c>
      <c r="U20" s="134">
        <f t="shared" si="23"/>
        <v>249</v>
      </c>
      <c r="V20" s="134">
        <f t="shared" si="23"/>
        <v>544</v>
      </c>
      <c r="W20" s="134">
        <f t="shared" si="23"/>
        <v>96</v>
      </c>
      <c r="X20" s="134">
        <f t="shared" si="23"/>
        <v>88</v>
      </c>
      <c r="Y20" s="134">
        <f t="shared" si="23"/>
        <v>1</v>
      </c>
      <c r="Z20" s="134">
        <f t="shared" si="23"/>
        <v>5</v>
      </c>
      <c r="AA20" s="134">
        <f t="shared" si="23"/>
        <v>5</v>
      </c>
      <c r="AB20" s="134">
        <f t="shared" si="23"/>
        <v>1</v>
      </c>
      <c r="AC20" s="134">
        <f t="shared" si="23"/>
        <v>0</v>
      </c>
      <c r="AD20" s="134">
        <f t="shared" si="23"/>
        <v>0</v>
      </c>
      <c r="AE20" s="134">
        <f t="shared" si="23"/>
        <v>0</v>
      </c>
      <c r="AF20" s="134">
        <f t="shared" si="23"/>
        <v>0</v>
      </c>
      <c r="AG20" s="134">
        <f t="shared" si="23"/>
        <v>2</v>
      </c>
      <c r="AH20" s="134">
        <f t="shared" si="23"/>
        <v>2</v>
      </c>
      <c r="AI20" s="134">
        <f t="shared" si="23"/>
        <v>3</v>
      </c>
      <c r="AJ20" s="134">
        <f t="shared" si="23"/>
        <v>1</v>
      </c>
      <c r="AK20" s="134">
        <f t="shared" si="23"/>
        <v>0</v>
      </c>
      <c r="AL20" s="134">
        <f t="shared" si="23"/>
        <v>0</v>
      </c>
      <c r="AM20" s="134">
        <f t="shared" si="23"/>
        <v>0</v>
      </c>
      <c r="AN20" s="209">
        <f t="shared" si="23"/>
        <v>0</v>
      </c>
      <c r="AO20" s="210">
        <v>1</v>
      </c>
      <c r="AP20" s="210">
        <v>1</v>
      </c>
      <c r="AQ20" s="210">
        <v>1</v>
      </c>
      <c r="AR20" s="210">
        <v>1</v>
      </c>
      <c r="AS20" s="152">
        <f t="shared" si="23"/>
        <v>0</v>
      </c>
      <c r="AT20" s="152">
        <f t="shared" si="23"/>
        <v>0</v>
      </c>
      <c r="AU20" s="210"/>
      <c r="AV20" s="211"/>
      <c r="AW20" s="210"/>
      <c r="AX20" s="211"/>
      <c r="AY20" s="133">
        <f>SUBTOTAL(9,AY9:AY19)</f>
        <v>490</v>
      </c>
      <c r="AZ20" s="134">
        <f>SUBTOTAL(9,AZ9:AZ19)</f>
        <v>307</v>
      </c>
      <c r="BA20" s="134">
        <f>SUBTOTAL(9,BA9:BA19)</f>
        <v>252</v>
      </c>
      <c r="BB20" s="134">
        <f>SUBTOTAL(9,BB9:BB19)</f>
        <v>545</v>
      </c>
      <c r="BC20" s="135">
        <f>SUBTOTAL(9,BC9:BC19)</f>
        <v>40</v>
      </c>
      <c r="BD20" s="212">
        <f>IF(ISNUMBER(BA20/AZ20),BA20/AZ20," - ")</f>
        <v>0.82084690553745931</v>
      </c>
      <c r="BE20" s="209">
        <f>IF(ISNUMBER(BB20/BA20),BB20/BA20, " - ")</f>
        <v>2.1626984126984126</v>
      </c>
      <c r="BF20" s="209">
        <f>IF(ISNUMBER(BC20/BA20),BC20/BA20, " - ")</f>
        <v>0.15873015873015872</v>
      </c>
      <c r="BG20" s="135">
        <f>IF(ISNUMBER((AY20+AZ20)/BA20),(AY20+AZ20)/BA20," - ")</f>
        <v>3.1626984126984126</v>
      </c>
      <c r="BH20" s="210">
        <f>SUBTOTAL(9,BH9:BH19)</f>
        <v>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fLhZr8RJxdGOknP6lLk41bXbgrbYNoywMBPI2sU9zQeJbvaAka2V0CGOuxqHBGOgUIj8yNM2PTiLKqxkz3rpA==" saltValue="LcRiz/Fki4/dvDZC31zh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410</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389</v>
      </c>
      <c r="BN5" s="1582"/>
      <c r="BO5" s="1583"/>
      <c r="BP5" s="1582"/>
      <c r="BQ5" s="1583"/>
      <c r="BR5" s="1582"/>
      <c r="BS5" s="1583"/>
      <c r="BT5" s="1582"/>
      <c r="BU5" s="1583"/>
      <c r="BV5" s="1731" t="s">
        <v>274</v>
      </c>
      <c r="BW5" s="1765" t="s">
        <v>254</v>
      </c>
      <c r="BX5" s="1765"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458</v>
      </c>
      <c r="CL5" s="1648" t="s">
        <v>459</v>
      </c>
      <c r="CM5" s="1648" t="s">
        <v>460</v>
      </c>
      <c r="CN5" s="1664" t="s">
        <v>372</v>
      </c>
      <c r="CO5" s="1664" t="s">
        <v>365</v>
      </c>
      <c r="CP5" s="1664" t="s">
        <v>371</v>
      </c>
      <c r="CQ5" s="1667" t="s">
        <v>370</v>
      </c>
      <c r="CR5" s="1667" t="s">
        <v>42</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481</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613</v>
      </c>
      <c r="ED5" s="1744" t="s">
        <v>583</v>
      </c>
      <c r="EE5" s="1744" t="s">
        <v>616</v>
      </c>
      <c r="EF5" s="1744" t="s">
        <v>617</v>
      </c>
      <c r="EG5" s="1747" t="s">
        <v>618</v>
      </c>
      <c r="EH5" s="1747" t="s">
        <v>619</v>
      </c>
      <c r="EI5" s="1747" t="s">
        <v>585</v>
      </c>
      <c r="EJ5" s="1747" t="s">
        <v>586</v>
      </c>
      <c r="EK5" s="1768" t="s">
        <v>663</v>
      </c>
      <c r="EL5" s="1759" t="s">
        <v>679</v>
      </c>
      <c r="EM5" s="1760"/>
      <c r="EN5" s="1761"/>
      <c r="EO5" s="1660" t="s">
        <v>731</v>
      </c>
      <c r="EP5" s="1660" t="s">
        <v>733</v>
      </c>
      <c r="EQ5" s="1660" t="s">
        <v>734</v>
      </c>
      <c r="ER5" s="1660" t="s">
        <v>739</v>
      </c>
      <c r="ES5" s="1660" t="s">
        <v>744</v>
      </c>
      <c r="ET5" s="1753" t="s">
        <v>779</v>
      </c>
      <c r="EU5" s="1753" t="s">
        <v>780</v>
      </c>
      <c r="EV5" s="1663" t="s">
        <v>795</v>
      </c>
      <c r="EW5" s="1747" t="s">
        <v>798</v>
      </c>
      <c r="EX5" s="1654" t="s">
        <v>812</v>
      </c>
      <c r="EY5" s="1642" t="s">
        <v>817</v>
      </c>
      <c r="EZ5" s="1639" t="s">
        <v>859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730</v>
      </c>
      <c r="B7" s="1694"/>
      <c r="C7" s="1697"/>
      <c r="D7" s="66" t="s">
        <v>402</v>
      </c>
      <c r="E7" s="67" t="s">
        <v>128</v>
      </c>
      <c r="F7" s="67" t="s">
        <v>127</v>
      </c>
      <c r="G7" s="121" t="s">
        <v>35</v>
      </c>
      <c r="H7" s="122" t="s">
        <v>403</v>
      </c>
      <c r="I7" s="9" t="s">
        <v>377</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680</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404</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151</v>
      </c>
      <c r="BC8" s="50" t="s">
        <v>219</v>
      </c>
      <c r="BD8" s="50" t="s">
        <v>155</v>
      </c>
      <c r="BE8" s="50" t="s">
        <v>158</v>
      </c>
      <c r="BF8" s="50" t="s">
        <v>159</v>
      </c>
      <c r="BG8" s="50" t="s">
        <v>214</v>
      </c>
      <c r="BH8" s="50" t="s">
        <v>215</v>
      </c>
      <c r="BI8" s="50" t="s">
        <v>222</v>
      </c>
      <c r="BJ8" s="50" t="s">
        <v>233</v>
      </c>
      <c r="BK8" s="50" t="s">
        <v>236</v>
      </c>
      <c r="BL8" s="50" t="s">
        <v>237</v>
      </c>
      <c r="BM8" s="50"/>
      <c r="BN8" s="50"/>
      <c r="BO8" s="50"/>
      <c r="BP8" s="50"/>
      <c r="BQ8" s="50"/>
      <c r="BR8" s="50"/>
      <c r="BS8" s="50"/>
      <c r="BT8" s="50"/>
      <c r="BU8" s="50"/>
      <c r="BV8" s="50" t="s">
        <v>285</v>
      </c>
      <c r="BW8" s="50" t="s">
        <v>286</v>
      </c>
      <c r="BX8" s="50" t="s">
        <v>291</v>
      </c>
      <c r="BY8" s="50" t="s">
        <v>293</v>
      </c>
      <c r="BZ8" s="50" t="s">
        <v>298</v>
      </c>
      <c r="CA8" s="50" t="s">
        <v>299</v>
      </c>
      <c r="CB8" s="50" t="s">
        <v>352</v>
      </c>
      <c r="CC8" s="50" t="s">
        <v>354</v>
      </c>
      <c r="CD8" s="50" t="s">
        <v>356</v>
      </c>
      <c r="CE8" s="50" t="s">
        <v>366</v>
      </c>
      <c r="CF8" s="50" t="s">
        <v>367</v>
      </c>
      <c r="CG8" s="50" t="s">
        <v>368</v>
      </c>
      <c r="CH8" s="50" t="s">
        <v>369</v>
      </c>
      <c r="CI8" s="50" t="s">
        <v>392</v>
      </c>
      <c r="CJ8" s="50" t="s">
        <v>394</v>
      </c>
      <c r="CK8" s="50" t="s">
        <v>232</v>
      </c>
      <c r="CL8" s="50" t="s">
        <v>318</v>
      </c>
      <c r="CM8" s="50" t="s">
        <v>321</v>
      </c>
      <c r="CN8" s="50"/>
      <c r="CO8" s="50"/>
      <c r="CP8" s="50"/>
      <c r="CQ8" s="50" t="s">
        <v>347</v>
      </c>
      <c r="CR8" s="50" t="s">
        <v>348</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410</v>
      </c>
      <c r="DF8" s="50" t="s">
        <v>43</v>
      </c>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69"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469" t="s">
        <v>681</v>
      </c>
      <c r="EM8" s="469" t="s">
        <v>682</v>
      </c>
      <c r="EN8" s="469" t="s">
        <v>683</v>
      </c>
      <c r="EO8" s="50" t="s">
        <v>732</v>
      </c>
      <c r="EP8" s="50" t="s">
        <v>737</v>
      </c>
      <c r="EQ8" s="50" t="s">
        <v>738</v>
      </c>
      <c r="ER8" s="469">
        <v>148</v>
      </c>
      <c r="ES8" s="469" t="s">
        <v>745</v>
      </c>
      <c r="ET8" s="1136" t="s">
        <v>781</v>
      </c>
      <c r="EU8" s="1136" t="s">
        <v>782</v>
      </c>
      <c r="EV8" s="1136" t="s">
        <v>789</v>
      </c>
      <c r="EW8" s="469" t="s">
        <v>797</v>
      </c>
      <c r="EX8" s="469" t="s">
        <v>811</v>
      </c>
      <c r="EY8" s="469" t="s">
        <v>816</v>
      </c>
      <c r="EZ8" s="469" t="s">
        <v>860</v>
      </c>
    </row>
    <row r="9" spans="1:156" ht="14.25" customHeight="1">
      <c r="A9" s="20" t="s">
        <v>1012</v>
      </c>
      <c r="B9" s="21" t="s">
        <v>404</v>
      </c>
      <c r="C9" s="22" t="s">
        <v>3</v>
      </c>
      <c r="D9" s="23" t="s">
        <v>20</v>
      </c>
      <c r="E9" s="21" t="s">
        <v>21</v>
      </c>
      <c r="F9" s="21">
        <v>32</v>
      </c>
      <c r="G9" s="6"/>
      <c r="H9" s="136" t="s">
        <v>247</v>
      </c>
      <c r="I9" s="1174" t="s">
        <v>843</v>
      </c>
      <c r="J9" s="1173" t="s">
        <v>844</v>
      </c>
      <c r="K9" s="1173" t="s">
        <v>845</v>
      </c>
      <c r="L9" s="1173" t="s">
        <v>846</v>
      </c>
      <c r="M9" s="57" t="s">
        <v>815</v>
      </c>
      <c r="N9" s="57" t="s">
        <v>818</v>
      </c>
      <c r="O9" s="57" t="s">
        <v>325</v>
      </c>
      <c r="P9" s="57" t="s">
        <v>373</v>
      </c>
      <c r="Q9" s="57" t="s">
        <v>374</v>
      </c>
      <c r="R9" s="57" t="s">
        <v>375</v>
      </c>
      <c r="S9" s="57"/>
      <c r="T9" s="57"/>
      <c r="U9" s="57"/>
      <c r="V9" s="57"/>
      <c r="W9" s="57"/>
      <c r="X9" s="61"/>
      <c r="Y9" s="1177" t="s">
        <v>840</v>
      </c>
      <c r="Z9" s="1173" t="s">
        <v>839</v>
      </c>
      <c r="AA9" s="1173" t="s">
        <v>841</v>
      </c>
      <c r="AB9" s="1173" t="s">
        <v>842</v>
      </c>
      <c r="AC9" s="57"/>
      <c r="AD9" s="57"/>
      <c r="AE9" s="57"/>
      <c r="AF9" s="61"/>
      <c r="AG9" s="62"/>
      <c r="AH9" s="57"/>
      <c r="AI9" s="57"/>
      <c r="AJ9" s="63"/>
      <c r="AK9" s="58"/>
      <c r="AL9" s="57"/>
      <c r="AM9" s="57"/>
      <c r="AN9" s="61"/>
      <c r="AO9" s="64"/>
      <c r="AP9" s="64"/>
      <c r="AQ9" s="64"/>
      <c r="AR9" s="60"/>
      <c r="AS9" s="316" t="s">
        <v>823</v>
      </c>
      <c r="AT9" s="194"/>
      <c r="AU9" s="316" t="s">
        <v>770</v>
      </c>
      <c r="AV9" s="194"/>
      <c r="AW9" s="316" t="s">
        <v>773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305</v>
      </c>
      <c r="BX9" s="155" t="s">
        <v>306</v>
      </c>
      <c r="BY9" s="155" t="s">
        <v>852</v>
      </c>
      <c r="BZ9" s="155" t="s">
        <v>877</v>
      </c>
      <c r="CA9" s="155" t="s">
        <v>414</v>
      </c>
      <c r="CB9" s="155" t="s">
        <v>415</v>
      </c>
      <c r="CC9" s="155" t="s">
        <v>416</v>
      </c>
      <c r="CD9" s="155" t="s">
        <v>417</v>
      </c>
      <c r="CE9" s="155"/>
      <c r="CF9" s="155"/>
      <c r="CG9" s="155"/>
      <c r="CH9" s="155"/>
      <c r="CI9" s="155" t="s">
        <v>506</v>
      </c>
      <c r="CJ9" s="155" t="s">
        <v>418</v>
      </c>
      <c r="CK9" s="155" t="s">
        <v>493</v>
      </c>
      <c r="CL9" s="155" t="s">
        <v>495</v>
      </c>
      <c r="CM9" s="155" t="s">
        <v>497</v>
      </c>
      <c r="CN9" s="155">
        <v>1088</v>
      </c>
      <c r="CO9" s="155">
        <v>720</v>
      </c>
      <c r="CP9" s="155">
        <v>1088</v>
      </c>
      <c r="CQ9" s="288" t="s">
        <v>853</v>
      </c>
      <c r="CR9" s="288" t="s">
        <v>878</v>
      </c>
      <c r="CS9" s="155"/>
      <c r="CT9" s="155"/>
      <c r="CU9" s="155"/>
      <c r="CV9" s="155" t="s">
        <v>504</v>
      </c>
      <c r="CW9" s="155" t="s">
        <v>413</v>
      </c>
      <c r="CX9" s="155" t="s">
        <v>345</v>
      </c>
      <c r="CY9" s="155" t="s">
        <v>441</v>
      </c>
      <c r="CZ9" s="155" t="s">
        <v>442</v>
      </c>
      <c r="DA9" s="155" t="s">
        <v>443</v>
      </c>
      <c r="DB9" s="316" t="s">
        <v>824</v>
      </c>
      <c r="DC9" s="316" t="s">
        <v>825</v>
      </c>
      <c r="DD9" s="155"/>
      <c r="DE9" s="155" t="s">
        <v>243</v>
      </c>
      <c r="DF9" s="155"/>
      <c r="DG9" s="155" t="s">
        <v>447</v>
      </c>
      <c r="DH9" s="155" t="s">
        <v>501</v>
      </c>
      <c r="DI9" s="155" t="s">
        <v>502</v>
      </c>
      <c r="DJ9" s="155" t="s">
        <v>503</v>
      </c>
      <c r="DK9" s="155"/>
      <c r="DL9" s="155"/>
      <c r="DM9" s="155"/>
      <c r="DN9" s="155"/>
      <c r="DO9" s="155"/>
      <c r="DP9" s="155"/>
      <c r="DQ9" s="155"/>
      <c r="DR9" s="155"/>
      <c r="DS9" s="155"/>
      <c r="DT9" s="155"/>
      <c r="DU9" s="155" t="s">
        <v>670</v>
      </c>
      <c r="DV9" s="155" t="s">
        <v>665</v>
      </c>
      <c r="DW9" s="155" t="s">
        <v>666</v>
      </c>
      <c r="DX9" s="155" t="s">
        <v>667</v>
      </c>
      <c r="DY9" s="155" t="s">
        <v>668</v>
      </c>
      <c r="DZ9" s="155"/>
      <c r="EA9" s="155"/>
      <c r="EB9" s="155"/>
      <c r="EC9" s="155"/>
      <c r="ED9" s="155"/>
      <c r="EE9" s="155"/>
      <c r="EF9" s="155"/>
      <c r="EG9" s="155"/>
      <c r="EH9" s="155"/>
      <c r="EI9" s="155"/>
      <c r="EJ9" s="155"/>
      <c r="EK9" s="155"/>
      <c r="EL9" s="288" t="s">
        <v>761</v>
      </c>
      <c r="EM9" s="288" t="s">
        <v>762</v>
      </c>
      <c r="EN9" s="155" t="s">
        <v>760</v>
      </c>
      <c r="EO9" s="984" t="s">
        <v>826</v>
      </c>
      <c r="EP9" s="984" t="s">
        <v>831</v>
      </c>
      <c r="EQ9" s="984" t="s">
        <v>833</v>
      </c>
      <c r="ER9" s="995">
        <v>1200</v>
      </c>
      <c r="ES9" s="992"/>
      <c r="ET9" s="1137"/>
      <c r="EU9" s="1137"/>
      <c r="EV9" s="155" t="s">
        <v>792</v>
      </c>
      <c r="EW9" s="155"/>
      <c r="EX9" s="155"/>
      <c r="EY9" s="155"/>
      <c r="EZ9" s="155"/>
    </row>
    <row r="10" spans="1:156" ht="14.25" customHeight="1">
      <c r="A10" s="20" t="s">
        <v>1018</v>
      </c>
      <c r="B10" s="21" t="s">
        <v>404</v>
      </c>
      <c r="C10" s="22" t="s">
        <v>3</v>
      </c>
      <c r="D10" s="23" t="s">
        <v>82</v>
      </c>
      <c r="E10" s="21" t="s">
        <v>82</v>
      </c>
      <c r="F10" s="21" t="s">
        <v>141</v>
      </c>
      <c r="G10" s="6"/>
      <c r="H10" s="136"/>
      <c r="I10" s="1175" t="s">
        <v>873</v>
      </c>
      <c r="J10" s="1176" t="s">
        <v>866</v>
      </c>
      <c r="K10" s="1176" t="s">
        <v>869</v>
      </c>
      <c r="L10" s="1176" t="s">
        <v>874</v>
      </c>
      <c r="M10" s="57" t="s">
        <v>513</v>
      </c>
      <c r="N10" s="57" t="s">
        <v>142</v>
      </c>
      <c r="O10" s="57" t="s">
        <v>229</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746</v>
      </c>
      <c r="AT10" s="63"/>
      <c r="AU10" s="147" t="s">
        <v>747</v>
      </c>
      <c r="AV10" s="63"/>
      <c r="AW10" s="147" t="s">
        <v>748</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312</v>
      </c>
      <c r="BW10" s="153" t="s">
        <v>349</v>
      </c>
      <c r="BX10" s="153" t="s">
        <v>350</v>
      </c>
      <c r="BY10" s="153" t="s">
        <v>864</v>
      </c>
      <c r="BZ10" s="153"/>
      <c r="CA10" s="153"/>
      <c r="CB10" s="153"/>
      <c r="CC10" s="153"/>
      <c r="CD10" s="153"/>
      <c r="CE10" s="153"/>
      <c r="CF10" s="153"/>
      <c r="CG10" s="153"/>
      <c r="CH10" s="153"/>
      <c r="CI10" s="153" t="s">
        <v>508</v>
      </c>
      <c r="CJ10" s="153" t="s">
        <v>302</v>
      </c>
      <c r="CK10" s="153" t="s">
        <v>461</v>
      </c>
      <c r="CL10" s="153" t="s">
        <v>462</v>
      </c>
      <c r="CM10" s="153" t="s">
        <v>463</v>
      </c>
      <c r="CN10" s="153">
        <v>1175</v>
      </c>
      <c r="CO10" s="153">
        <v>0</v>
      </c>
      <c r="CP10" s="288" t="s">
        <v>420</v>
      </c>
      <c r="CQ10" s="153" t="s">
        <v>865</v>
      </c>
      <c r="CR10" s="153"/>
      <c r="CS10" s="153"/>
      <c r="CT10" s="155"/>
      <c r="CU10" s="155"/>
      <c r="CV10" s="155" t="s">
        <v>317</v>
      </c>
      <c r="CW10" s="155" t="s">
        <v>341</v>
      </c>
      <c r="CX10" s="155" t="s">
        <v>344</v>
      </c>
      <c r="CY10" s="155" t="s">
        <v>509</v>
      </c>
      <c r="CZ10" s="155" t="s">
        <v>510</v>
      </c>
      <c r="DA10" s="155" t="s">
        <v>511</v>
      </c>
      <c r="DB10" s="319" t="s">
        <v>866</v>
      </c>
      <c r="DC10" s="318"/>
      <c r="DD10" s="155"/>
      <c r="DE10" s="155" t="s">
        <v>244</v>
      </c>
      <c r="DF10" s="155"/>
      <c r="DG10" s="155" t="s">
        <v>512</v>
      </c>
      <c r="DH10" s="153" t="s">
        <v>434</v>
      </c>
      <c r="DI10" s="153" t="s">
        <v>432</v>
      </c>
      <c r="DJ10" s="153" t="s">
        <v>433</v>
      </c>
      <c r="DK10" s="153"/>
      <c r="DL10" s="153"/>
      <c r="DM10" s="288"/>
      <c r="DN10" s="288"/>
      <c r="DO10" s="288"/>
      <c r="DP10" s="288"/>
      <c r="DQ10" s="288"/>
      <c r="DR10" s="288"/>
      <c r="DS10" s="288"/>
      <c r="DT10" s="288"/>
      <c r="DU10" s="154" t="s">
        <v>603</v>
      </c>
      <c r="DV10" s="288" t="s">
        <v>717</v>
      </c>
      <c r="DW10" s="288" t="s">
        <v>714</v>
      </c>
      <c r="DX10" s="288" t="s">
        <v>715</v>
      </c>
      <c r="DY10" s="288" t="s">
        <v>716</v>
      </c>
      <c r="DZ10" s="288"/>
      <c r="EA10" s="288"/>
      <c r="EB10" s="288"/>
      <c r="EC10" s="288"/>
      <c r="ED10" s="288"/>
      <c r="EE10" s="288"/>
      <c r="EF10" s="288"/>
      <c r="EG10" s="288"/>
      <c r="EH10" s="288"/>
      <c r="EI10" s="288"/>
      <c r="EJ10" s="288"/>
      <c r="EK10" s="288"/>
      <c r="EL10" s="288"/>
      <c r="EM10" s="288"/>
      <c r="EN10" s="288"/>
      <c r="EO10" s="319" t="s">
        <v>752</v>
      </c>
      <c r="EP10" s="319" t="s">
        <v>753</v>
      </c>
      <c r="EQ10" s="319" t="s">
        <v>754</v>
      </c>
      <c r="ER10" s="996">
        <v>1600</v>
      </c>
      <c r="ES10" s="338"/>
      <c r="ET10" s="1137"/>
      <c r="EU10" s="1137"/>
      <c r="EV10" s="155" t="s">
        <v>794</v>
      </c>
      <c r="EW10" s="288"/>
      <c r="EX10" s="288"/>
      <c r="EY10" s="288"/>
      <c r="EZ10" s="288"/>
    </row>
    <row r="11" spans="1:156" ht="14.25" customHeight="1" thickBot="1">
      <c r="A11" s="20" t="s">
        <v>1013</v>
      </c>
      <c r="B11" s="21" t="s">
        <v>404</v>
      </c>
      <c r="C11" s="22" t="s">
        <v>3</v>
      </c>
      <c r="D11" s="23" t="s">
        <v>20</v>
      </c>
      <c r="E11" s="21" t="s">
        <v>51</v>
      </c>
      <c r="F11" s="21">
        <v>32</v>
      </c>
      <c r="G11" s="6"/>
      <c r="H11" s="28" t="s">
        <v>36</v>
      </c>
      <c r="I11" s="1171" t="s">
        <v>847</v>
      </c>
      <c r="J11" s="1172" t="s">
        <v>848</v>
      </c>
      <c r="K11" s="1172" t="s">
        <v>849</v>
      </c>
      <c r="L11" s="1172" t="s">
        <v>850</v>
      </c>
      <c r="M11" s="26" t="s">
        <v>490</v>
      </c>
      <c r="N11" s="26" t="s">
        <v>38</v>
      </c>
      <c r="O11" s="57" t="s">
        <v>226</v>
      </c>
      <c r="P11" s="26" t="s">
        <v>39</v>
      </c>
      <c r="Q11" s="26" t="s">
        <v>40</v>
      </c>
      <c r="R11" s="26" t="s">
        <v>91</v>
      </c>
      <c r="S11" s="26"/>
      <c r="T11" s="26"/>
      <c r="U11" s="26"/>
      <c r="V11" s="26"/>
      <c r="W11" s="26"/>
      <c r="X11" s="52"/>
      <c r="Y11" s="1177" t="s">
        <v>840</v>
      </c>
      <c r="Z11" s="1173" t="s">
        <v>851</v>
      </c>
      <c r="AA11" s="1173" t="s">
        <v>841</v>
      </c>
      <c r="AB11" s="1173" t="s">
        <v>842</v>
      </c>
      <c r="AC11" s="26"/>
      <c r="AD11" s="26"/>
      <c r="AE11" s="26"/>
      <c r="AF11" s="52"/>
      <c r="AG11" s="49"/>
      <c r="AH11" s="26"/>
      <c r="AI11" s="26"/>
      <c r="AJ11" s="27"/>
      <c r="AK11" s="25"/>
      <c r="AL11" s="26"/>
      <c r="AM11" s="26"/>
      <c r="AN11" s="52"/>
      <c r="AO11" s="59"/>
      <c r="AP11" s="59"/>
      <c r="AQ11" s="59"/>
      <c r="AR11" s="64"/>
      <c r="AS11" s="49" t="s">
        <v>768</v>
      </c>
      <c r="AT11" s="27"/>
      <c r="AU11" s="49" t="s">
        <v>771</v>
      </c>
      <c r="AV11" s="27"/>
      <c r="AW11" s="49" t="s">
        <v>774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256</v>
      </c>
      <c r="BX11" s="155" t="s">
        <v>257</v>
      </c>
      <c r="BY11" s="156" t="s">
        <v>830</v>
      </c>
      <c r="BZ11" s="155" t="s">
        <v>857</v>
      </c>
      <c r="CA11" s="155" t="s">
        <v>292</v>
      </c>
      <c r="CB11" s="155" t="s">
        <v>287</v>
      </c>
      <c r="CC11" s="155" t="s">
        <v>288</v>
      </c>
      <c r="CD11" s="155" t="s">
        <v>289</v>
      </c>
      <c r="CE11" s="156"/>
      <c r="CF11" s="156"/>
      <c r="CG11" s="156"/>
      <c r="CH11" s="156"/>
      <c r="CI11" s="156" t="s">
        <v>483</v>
      </c>
      <c r="CJ11" s="156" t="s">
        <v>300</v>
      </c>
      <c r="CK11" s="155" t="s">
        <v>492</v>
      </c>
      <c r="CL11" s="155" t="s">
        <v>494</v>
      </c>
      <c r="CM11" s="155" t="s">
        <v>496</v>
      </c>
      <c r="CN11" s="155">
        <v>1088</v>
      </c>
      <c r="CO11" s="156">
        <v>1000</v>
      </c>
      <c r="CP11" s="155">
        <v>1088</v>
      </c>
      <c r="CQ11" s="155" t="s">
        <v>808</v>
      </c>
      <c r="CR11" s="155" t="s">
        <v>858</v>
      </c>
      <c r="CS11" s="156"/>
      <c r="CT11" s="155"/>
      <c r="CU11" s="155"/>
      <c r="CV11" s="155" t="s">
        <v>504</v>
      </c>
      <c r="CW11" s="155" t="s">
        <v>338</v>
      </c>
      <c r="CX11" s="155" t="s">
        <v>345</v>
      </c>
      <c r="CY11" s="155" t="s">
        <v>441</v>
      </c>
      <c r="CZ11" s="155" t="s">
        <v>442</v>
      </c>
      <c r="DA11" s="155" t="s">
        <v>443</v>
      </c>
      <c r="DB11" s="146" t="s">
        <v>819</v>
      </c>
      <c r="DC11" s="146" t="s">
        <v>820</v>
      </c>
      <c r="DD11" s="155"/>
      <c r="DE11" s="155" t="s">
        <v>245</v>
      </c>
      <c r="DF11" s="155"/>
      <c r="DG11" s="155" t="s">
        <v>447</v>
      </c>
      <c r="DH11" s="155" t="s">
        <v>501</v>
      </c>
      <c r="DI11" s="155" t="s">
        <v>502</v>
      </c>
      <c r="DJ11" s="155" t="s">
        <v>503</v>
      </c>
      <c r="DK11" s="155"/>
      <c r="DL11" s="155"/>
      <c r="DM11" s="288"/>
      <c r="DN11" s="288"/>
      <c r="DO11" s="288"/>
      <c r="DP11" s="288"/>
      <c r="DQ11" s="288"/>
      <c r="DR11" s="288"/>
      <c r="DS11" s="288"/>
      <c r="DT11" s="288"/>
      <c r="DU11" s="288" t="s">
        <v>670</v>
      </c>
      <c r="DV11" s="288" t="s">
        <v>665</v>
      </c>
      <c r="DW11" s="288" t="s">
        <v>666</v>
      </c>
      <c r="DX11" s="288" t="s">
        <v>667</v>
      </c>
      <c r="DY11" s="288" t="s">
        <v>668</v>
      </c>
      <c r="DZ11" s="288"/>
      <c r="EA11" s="288"/>
      <c r="EB11" s="288"/>
      <c r="EC11" s="288"/>
      <c r="ED11" s="288"/>
      <c r="EE11" s="288"/>
      <c r="EF11" s="288"/>
      <c r="EG11" s="288"/>
      <c r="EH11" s="288"/>
      <c r="EI11" s="288"/>
      <c r="EJ11" s="288"/>
      <c r="EK11" s="288"/>
      <c r="EL11" s="288"/>
      <c r="EM11" s="288"/>
      <c r="EN11" s="288"/>
      <c r="EO11" s="983" t="s">
        <v>827</v>
      </c>
      <c r="EP11" s="983" t="s">
        <v>809</v>
      </c>
      <c r="EQ11" s="983" t="s">
        <v>810</v>
      </c>
      <c r="ER11" s="997">
        <v>1323</v>
      </c>
      <c r="ES11" s="993"/>
      <c r="ET11" s="1137"/>
      <c r="EU11" s="1137"/>
      <c r="EV11" s="155" t="s">
        <v>791</v>
      </c>
      <c r="EW11" s="288"/>
      <c r="EX11" s="288"/>
      <c r="EY11" s="288"/>
      <c r="EZ11" s="288"/>
    </row>
    <row r="12" spans="1:156" ht="14.25" customHeight="1">
      <c r="A12" s="20" t="s">
        <v>1015</v>
      </c>
      <c r="B12" s="21" t="s">
        <v>404</v>
      </c>
      <c r="C12" s="22" t="s">
        <v>3</v>
      </c>
      <c r="D12" s="23" t="s">
        <v>20</v>
      </c>
      <c r="E12" s="21" t="s">
        <v>20</v>
      </c>
      <c r="F12" s="21">
        <v>31</v>
      </c>
      <c r="G12" s="6"/>
      <c r="H12" s="29"/>
      <c r="I12" s="1171" t="s">
        <v>876</v>
      </c>
      <c r="J12" s="1172" t="s">
        <v>867</v>
      </c>
      <c r="K12" s="1172" t="s">
        <v>870</v>
      </c>
      <c r="L12" s="1172" t="s">
        <v>875</v>
      </c>
      <c r="M12" s="26" t="s">
        <v>814</v>
      </c>
      <c r="N12" s="26" t="s">
        <v>38</v>
      </c>
      <c r="O12" s="57" t="s">
        <v>226</v>
      </c>
      <c r="P12" s="26" t="s">
        <v>383</v>
      </c>
      <c r="Q12" s="26" t="s">
        <v>384</v>
      </c>
      <c r="R12" s="26" t="s">
        <v>385</v>
      </c>
      <c r="S12" s="26"/>
      <c r="T12" s="26"/>
      <c r="U12" s="26"/>
      <c r="V12" s="26"/>
      <c r="W12" s="26"/>
      <c r="X12" s="52"/>
      <c r="Y12" s="1177" t="s">
        <v>840</v>
      </c>
      <c r="Z12" s="1173" t="s">
        <v>839</v>
      </c>
      <c r="AA12" s="1173" t="s">
        <v>841</v>
      </c>
      <c r="AB12" s="1173" t="s">
        <v>842</v>
      </c>
      <c r="AC12" s="26"/>
      <c r="AD12" s="26"/>
      <c r="AE12" s="26"/>
      <c r="AF12" s="52"/>
      <c r="AG12" s="49"/>
      <c r="AH12" s="26"/>
      <c r="AI12" s="26"/>
      <c r="AJ12" s="27"/>
      <c r="AK12" s="25"/>
      <c r="AL12" s="26"/>
      <c r="AM12" s="26"/>
      <c r="AN12" s="52"/>
      <c r="AO12" s="59"/>
      <c r="AP12" s="59"/>
      <c r="AQ12" s="59"/>
      <c r="AR12" s="64"/>
      <c r="AS12" s="49" t="s">
        <v>868</v>
      </c>
      <c r="AT12" s="27"/>
      <c r="AU12" s="49" t="s">
        <v>871</v>
      </c>
      <c r="AV12" s="27"/>
      <c r="AW12" s="49" t="s">
        <v>863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386</v>
      </c>
      <c r="BX12" s="155" t="s">
        <v>387</v>
      </c>
      <c r="BY12" s="156" t="s">
        <v>872</v>
      </c>
      <c r="BZ12" s="155"/>
      <c r="CA12" s="155" t="s">
        <v>292</v>
      </c>
      <c r="CB12" s="155" t="s">
        <v>287</v>
      </c>
      <c r="CC12" s="155" t="s">
        <v>288</v>
      </c>
      <c r="CD12" s="155" t="s">
        <v>289</v>
      </c>
      <c r="CE12" s="156"/>
      <c r="CF12" s="156"/>
      <c r="CG12" s="156"/>
      <c r="CH12" s="156"/>
      <c r="CI12" s="156" t="s">
        <v>483</v>
      </c>
      <c r="CJ12" s="156" t="s">
        <v>300</v>
      </c>
      <c r="CK12" s="155" t="s">
        <v>493</v>
      </c>
      <c r="CL12" s="155" t="s">
        <v>495</v>
      </c>
      <c r="CM12" s="155" t="s">
        <v>497</v>
      </c>
      <c r="CN12" s="288" t="s">
        <v>334</v>
      </c>
      <c r="CO12" s="156">
        <v>2880</v>
      </c>
      <c r="CP12" s="288" t="s">
        <v>309</v>
      </c>
      <c r="CQ12" s="288" t="s">
        <v>854</v>
      </c>
      <c r="CR12" s="288"/>
      <c r="CS12" s="156"/>
      <c r="CT12" s="155"/>
      <c r="CU12" s="155"/>
      <c r="CV12" s="155" t="s">
        <v>504</v>
      </c>
      <c r="CW12" s="155" t="s">
        <v>338</v>
      </c>
      <c r="CX12" s="155" t="s">
        <v>345</v>
      </c>
      <c r="CY12" s="155" t="s">
        <v>441</v>
      </c>
      <c r="CZ12" s="155" t="s">
        <v>442</v>
      </c>
      <c r="DA12" s="155" t="s">
        <v>443</v>
      </c>
      <c r="DB12" s="316" t="s">
        <v>821</v>
      </c>
      <c r="DC12" s="316" t="s">
        <v>822</v>
      </c>
      <c r="DD12" s="155"/>
      <c r="DE12" s="155" t="s">
        <v>246</v>
      </c>
      <c r="DF12" s="155"/>
      <c r="DG12" s="155" t="s">
        <v>447</v>
      </c>
      <c r="DH12" s="155" t="s">
        <v>501</v>
      </c>
      <c r="DI12" s="155" t="s">
        <v>502</v>
      </c>
      <c r="DJ12" s="155" t="s">
        <v>503</v>
      </c>
      <c r="DK12" s="155"/>
      <c r="DL12" s="155"/>
      <c r="DM12" s="288"/>
      <c r="DN12" s="288"/>
      <c r="DO12" s="288"/>
      <c r="DP12" s="288"/>
      <c r="DQ12" s="288"/>
      <c r="DR12" s="288"/>
      <c r="DS12" s="288"/>
      <c r="DT12" s="288"/>
      <c r="DU12" s="288" t="s">
        <v>670</v>
      </c>
      <c r="DV12" s="288" t="s">
        <v>665</v>
      </c>
      <c r="DW12" s="288" t="s">
        <v>666</v>
      </c>
      <c r="DX12" s="288" t="s">
        <v>667</v>
      </c>
      <c r="DY12" s="288" t="s">
        <v>668</v>
      </c>
      <c r="DZ12" s="288"/>
      <c r="EA12" s="288"/>
      <c r="EB12" s="288"/>
      <c r="EC12" s="288"/>
      <c r="ED12" s="288"/>
      <c r="EE12" s="288"/>
      <c r="EF12" s="288"/>
      <c r="EG12" s="288"/>
      <c r="EH12" s="288"/>
      <c r="EI12" s="288"/>
      <c r="EJ12" s="288"/>
      <c r="EK12" s="288"/>
      <c r="EL12" s="288" t="s">
        <v>761</v>
      </c>
      <c r="EM12" s="288" t="s">
        <v>762</v>
      </c>
      <c r="EN12" s="155" t="s">
        <v>760</v>
      </c>
      <c r="EO12" s="984" t="s">
        <v>829</v>
      </c>
      <c r="EP12" s="984" t="s">
        <v>832</v>
      </c>
      <c r="EQ12" s="984" t="s">
        <v>834</v>
      </c>
      <c r="ER12" s="995">
        <v>680</v>
      </c>
      <c r="ES12" s="994"/>
      <c r="ET12" s="1137"/>
      <c r="EU12" s="1137"/>
      <c r="EV12" s="155" t="s">
        <v>791</v>
      </c>
      <c r="EW12" s="288"/>
      <c r="EX12" s="288"/>
      <c r="EY12" s="288"/>
      <c r="EZ12" s="288"/>
    </row>
    <row r="13" spans="1:156" ht="14.25" customHeight="1" thickBot="1">
      <c r="A13" s="74" t="s">
        <v>0</v>
      </c>
      <c r="B13" s="75" t="s">
        <v>404</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404</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1014</v>
      </c>
      <c r="B15" s="21" t="s">
        <v>404</v>
      </c>
      <c r="C15" s="22" t="s">
        <v>3</v>
      </c>
      <c r="D15" s="23" t="s">
        <v>20</v>
      </c>
      <c r="E15" s="21" t="s">
        <v>22</v>
      </c>
      <c r="F15" s="21">
        <v>33</v>
      </c>
      <c r="G15" s="6"/>
      <c r="H15" s="24"/>
      <c r="I15" s="25" t="s">
        <v>516</v>
      </c>
      <c r="J15" s="26" t="s">
        <v>882</v>
      </c>
      <c r="K15" s="26" t="s">
        <v>893</v>
      </c>
      <c r="L15" s="26" t="s">
        <v>900</v>
      </c>
      <c r="M15" s="26" t="s">
        <v>515</v>
      </c>
      <c r="N15" s="26" t="s">
        <v>326</v>
      </c>
      <c r="O15" s="57" t="s">
        <v>327</v>
      </c>
      <c r="P15" s="26" t="s">
        <v>475</v>
      </c>
      <c r="Q15" s="26" t="s">
        <v>476</v>
      </c>
      <c r="R15" s="26" t="s">
        <v>477</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729</v>
      </c>
      <c r="AT15" s="27" t="s">
        <v>726</v>
      </c>
      <c r="AU15" s="49" t="s">
        <v>519</v>
      </c>
      <c r="AV15" s="27" t="s">
        <v>727</v>
      </c>
      <c r="AW15" s="49" t="s">
        <v>520</v>
      </c>
      <c r="AX15" s="27" t="s">
        <v>728</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382</v>
      </c>
      <c r="BW15" s="154" t="s">
        <v>307</v>
      </c>
      <c r="BX15" s="154" t="s">
        <v>308</v>
      </c>
      <c r="BY15" s="213" t="s">
        <v>1010</v>
      </c>
      <c r="BZ15" s="213" t="s">
        <v>855</v>
      </c>
      <c r="CA15" s="154"/>
      <c r="CB15" s="154"/>
      <c r="CC15" s="154"/>
      <c r="CD15" s="154"/>
      <c r="CE15" s="154"/>
      <c r="CF15" s="154"/>
      <c r="CG15" s="154"/>
      <c r="CH15" s="154"/>
      <c r="CI15" s="154" t="s">
        <v>489</v>
      </c>
      <c r="CJ15" s="154" t="s">
        <v>399</v>
      </c>
      <c r="CK15" s="154" t="s">
        <v>464</v>
      </c>
      <c r="CL15" s="154" t="s">
        <v>465</v>
      </c>
      <c r="CM15" s="154" t="s">
        <v>466</v>
      </c>
      <c r="CN15" s="154">
        <v>1262</v>
      </c>
      <c r="CO15" s="154">
        <v>6600</v>
      </c>
      <c r="CP15" s="154">
        <v>1262</v>
      </c>
      <c r="CQ15" s="213" t="s">
        <v>879</v>
      </c>
      <c r="CR15" s="213" t="s">
        <v>856</v>
      </c>
      <c r="CS15" s="154" t="s">
        <v>391</v>
      </c>
      <c r="CT15" s="155"/>
      <c r="CU15" s="155"/>
      <c r="CV15" s="155" t="s">
        <v>376</v>
      </c>
      <c r="CW15" s="155" t="s">
        <v>339</v>
      </c>
      <c r="CX15" s="155" t="s">
        <v>161</v>
      </c>
      <c r="CY15" s="155"/>
      <c r="CZ15" s="155"/>
      <c r="DA15" s="155"/>
      <c r="DB15" s="146" t="s">
        <v>883</v>
      </c>
      <c r="DC15" s="146" t="s">
        <v>884</v>
      </c>
      <c r="DD15" s="155"/>
      <c r="DE15" s="155" t="s">
        <v>518</v>
      </c>
      <c r="DF15" s="155" t="s">
        <v>412</v>
      </c>
      <c r="DG15" s="155"/>
      <c r="DH15" s="154" t="s">
        <v>429</v>
      </c>
      <c r="DI15" s="154" t="s">
        <v>430</v>
      </c>
      <c r="DJ15" s="154" t="s">
        <v>431</v>
      </c>
      <c r="DK15" s="154"/>
      <c r="DL15" s="154"/>
      <c r="DM15" s="154"/>
      <c r="DN15" s="154"/>
      <c r="DO15" s="154"/>
      <c r="DP15" s="154"/>
      <c r="DQ15" s="154"/>
      <c r="DR15" s="154"/>
      <c r="DS15" s="154"/>
      <c r="DT15" s="154"/>
      <c r="DU15" s="154" t="s">
        <v>602</v>
      </c>
      <c r="DV15" s="154"/>
      <c r="DW15" s="154"/>
      <c r="DX15" s="154"/>
      <c r="DY15" s="154"/>
      <c r="DZ15" s="154"/>
      <c r="EA15" s="154"/>
      <c r="EB15" s="154" t="s">
        <v>729</v>
      </c>
      <c r="EC15" s="154" t="s">
        <v>610</v>
      </c>
      <c r="ED15" s="154"/>
      <c r="EE15" s="154">
        <v>6000</v>
      </c>
      <c r="EF15" s="154">
        <v>650</v>
      </c>
      <c r="EG15" s="154"/>
      <c r="EH15" s="154"/>
      <c r="EI15" s="154" t="s">
        <v>611</v>
      </c>
      <c r="EJ15" s="154"/>
      <c r="EK15" s="154"/>
      <c r="EL15" s="154"/>
      <c r="EM15" s="154"/>
      <c r="EN15" s="154"/>
      <c r="EO15" s="983" t="s">
        <v>885</v>
      </c>
      <c r="EP15" s="983" t="s">
        <v>894</v>
      </c>
      <c r="EQ15" s="983" t="s">
        <v>901</v>
      </c>
      <c r="ER15" s="998" t="s">
        <v>751</v>
      </c>
      <c r="ES15" s="993"/>
      <c r="ET15" s="1137"/>
      <c r="EU15" s="1137"/>
      <c r="EV15" s="155" t="s">
        <v>790</v>
      </c>
      <c r="EW15" s="154"/>
      <c r="EX15" s="154"/>
      <c r="EY15" s="154"/>
      <c r="EZ15" s="154"/>
    </row>
    <row r="16" spans="1:156" ht="14.25" customHeight="1">
      <c r="A16" s="1193" t="s">
        <v>1019</v>
      </c>
      <c r="B16" s="21" t="s">
        <v>404</v>
      </c>
      <c r="C16" s="22" t="s">
        <v>3</v>
      </c>
      <c r="D16" s="23" t="s">
        <v>20</v>
      </c>
      <c r="E16" s="21" t="s">
        <v>215</v>
      </c>
      <c r="F16" s="21" t="s">
        <v>81</v>
      </c>
      <c r="G16" s="6"/>
      <c r="H16" s="24"/>
      <c r="I16" s="25" t="s">
        <v>516</v>
      </c>
      <c r="J16" s="26" t="s">
        <v>882</v>
      </c>
      <c r="K16" s="26" t="s">
        <v>893</v>
      </c>
      <c r="L16" s="26" t="s">
        <v>900</v>
      </c>
      <c r="M16" s="26" t="s">
        <v>515</v>
      </c>
      <c r="N16" s="26" t="s">
        <v>326</v>
      </c>
      <c r="O16" s="57" t="s">
        <v>327</v>
      </c>
      <c r="P16" s="26" t="s">
        <v>475</v>
      </c>
      <c r="Q16" s="26" t="s">
        <v>476</v>
      </c>
      <c r="R16" s="26" t="s">
        <v>477</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729</v>
      </c>
      <c r="AT16" s="27" t="s">
        <v>726</v>
      </c>
      <c r="AU16" s="49" t="s">
        <v>519</v>
      </c>
      <c r="AV16" s="27" t="s">
        <v>727</v>
      </c>
      <c r="AW16" s="49" t="s">
        <v>520</v>
      </c>
      <c r="AX16" s="27" t="s">
        <v>728</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382</v>
      </c>
      <c r="BW16" s="154" t="s">
        <v>307</v>
      </c>
      <c r="BX16" s="154" t="s">
        <v>308</v>
      </c>
      <c r="BY16" s="213" t="s">
        <v>1010</v>
      </c>
      <c r="BZ16" s="213" t="s">
        <v>855</v>
      </c>
      <c r="CA16" s="154"/>
      <c r="CB16" s="154"/>
      <c r="CC16" s="154"/>
      <c r="CD16" s="154"/>
      <c r="CE16" s="154"/>
      <c r="CF16" s="154"/>
      <c r="CG16" s="154"/>
      <c r="CH16" s="154"/>
      <c r="CI16" s="154" t="s">
        <v>489</v>
      </c>
      <c r="CJ16" s="154" t="s">
        <v>399</v>
      </c>
      <c r="CK16" s="154" t="s">
        <v>464</v>
      </c>
      <c r="CL16" s="154" t="s">
        <v>465</v>
      </c>
      <c r="CM16" s="154" t="s">
        <v>466</v>
      </c>
      <c r="CN16" s="154">
        <v>1262</v>
      </c>
      <c r="CO16" s="154">
        <v>6600</v>
      </c>
      <c r="CP16" s="154">
        <v>1262</v>
      </c>
      <c r="CQ16" s="213" t="s">
        <v>879</v>
      </c>
      <c r="CR16" s="213" t="s">
        <v>856</v>
      </c>
      <c r="CS16" s="154" t="s">
        <v>391</v>
      </c>
      <c r="CT16" s="155"/>
      <c r="CU16" s="155"/>
      <c r="CV16" s="155" t="s">
        <v>376</v>
      </c>
      <c r="CW16" s="155" t="s">
        <v>339</v>
      </c>
      <c r="CX16" s="155" t="s">
        <v>161</v>
      </c>
      <c r="CY16" s="155"/>
      <c r="CZ16" s="155"/>
      <c r="DA16" s="155"/>
      <c r="DB16" s="146" t="s">
        <v>883</v>
      </c>
      <c r="DC16" s="146" t="s">
        <v>884</v>
      </c>
      <c r="DD16" s="155"/>
      <c r="DE16" s="155" t="s">
        <v>518</v>
      </c>
      <c r="DF16" s="155" t="s">
        <v>412</v>
      </c>
      <c r="DG16" s="155"/>
      <c r="DH16" s="154" t="s">
        <v>429</v>
      </c>
      <c r="DI16" s="154" t="s">
        <v>430</v>
      </c>
      <c r="DJ16" s="154" t="s">
        <v>431</v>
      </c>
      <c r="DK16" s="154"/>
      <c r="DL16" s="154"/>
      <c r="DM16" s="154"/>
      <c r="DN16" s="154"/>
      <c r="DO16" s="154"/>
      <c r="DP16" s="154"/>
      <c r="DQ16" s="154"/>
      <c r="DR16" s="154"/>
      <c r="DS16" s="154"/>
      <c r="DT16" s="154"/>
      <c r="DU16" s="154" t="s">
        <v>602</v>
      </c>
      <c r="DV16" s="154"/>
      <c r="DW16" s="154"/>
      <c r="DX16" s="154"/>
      <c r="DY16" s="154"/>
      <c r="DZ16" s="154"/>
      <c r="EA16" s="154"/>
      <c r="EB16" s="154" t="s">
        <v>729</v>
      </c>
      <c r="EC16" s="154" t="s">
        <v>610</v>
      </c>
      <c r="ED16" s="154"/>
      <c r="EE16" s="154">
        <v>6000</v>
      </c>
      <c r="EF16" s="154">
        <v>650</v>
      </c>
      <c r="EG16" s="154"/>
      <c r="EH16" s="154"/>
      <c r="EI16" s="154" t="s">
        <v>611</v>
      </c>
      <c r="EJ16" s="154"/>
      <c r="EK16" s="154"/>
      <c r="EL16" s="154"/>
      <c r="EM16" s="154"/>
      <c r="EN16" s="154"/>
      <c r="EO16" s="983" t="s">
        <v>885</v>
      </c>
      <c r="EP16" s="983" t="s">
        <v>894</v>
      </c>
      <c r="EQ16" s="983" t="s">
        <v>901</v>
      </c>
      <c r="ER16" s="998" t="s">
        <v>751</v>
      </c>
      <c r="ES16" s="993"/>
      <c r="ET16" s="1137"/>
      <c r="EU16" s="1137"/>
      <c r="EV16" s="155" t="s">
        <v>790</v>
      </c>
      <c r="EW16" s="154"/>
      <c r="EX16" s="154"/>
      <c r="EY16" s="154"/>
      <c r="EZ16" s="154"/>
    </row>
    <row r="17" spans="1:156" ht="14.25" customHeight="1">
      <c r="A17" s="20" t="s">
        <v>1015</v>
      </c>
      <c r="B17" s="21" t="s">
        <v>404</v>
      </c>
      <c r="C17" s="22" t="s">
        <v>3</v>
      </c>
      <c r="D17" s="23" t="s">
        <v>20</v>
      </c>
      <c r="E17" s="21" t="s">
        <v>20</v>
      </c>
      <c r="F17" s="21">
        <v>31</v>
      </c>
      <c r="G17" s="6"/>
      <c r="H17" s="24"/>
      <c r="I17" s="25" t="s">
        <v>516</v>
      </c>
      <c r="J17" s="26" t="s">
        <v>886</v>
      </c>
      <c r="K17" s="26" t="s">
        <v>895</v>
      </c>
      <c r="L17" s="26" t="s">
        <v>902</v>
      </c>
      <c r="M17" s="26" t="s">
        <v>515</v>
      </c>
      <c r="N17" s="26" t="s">
        <v>152</v>
      </c>
      <c r="O17" s="57" t="s">
        <v>227</v>
      </c>
      <c r="P17" s="26" t="s">
        <v>475</v>
      </c>
      <c r="Q17" s="26" t="s">
        <v>476</v>
      </c>
      <c r="R17" s="26" t="s">
        <v>477</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887</v>
      </c>
      <c r="AT17" s="27"/>
      <c r="AU17" s="49" t="s">
        <v>896</v>
      </c>
      <c r="AV17" s="27"/>
      <c r="AW17" s="49" t="s">
        <v>903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382</v>
      </c>
      <c r="BW17" s="154" t="s">
        <v>380</v>
      </c>
      <c r="BX17" s="154" t="s">
        <v>381</v>
      </c>
      <c r="BY17" s="172" t="s">
        <v>1011</v>
      </c>
      <c r="BZ17" s="156"/>
      <c r="CA17" s="156"/>
      <c r="CB17" s="156"/>
      <c r="CC17" s="156"/>
      <c r="CD17" s="156"/>
      <c r="CE17" s="156"/>
      <c r="CF17" s="156"/>
      <c r="CG17" s="156"/>
      <c r="CH17" s="156"/>
      <c r="CI17" s="156" t="s">
        <v>489</v>
      </c>
      <c r="CJ17" s="156" t="s">
        <v>399</v>
      </c>
      <c r="CK17" s="154" t="s">
        <v>464</v>
      </c>
      <c r="CL17" s="154" t="s">
        <v>465</v>
      </c>
      <c r="CM17" s="154" t="s">
        <v>466</v>
      </c>
      <c r="CN17" s="288" t="s">
        <v>334</v>
      </c>
      <c r="CO17" s="156">
        <v>2880</v>
      </c>
      <c r="CP17" s="213" t="s">
        <v>310</v>
      </c>
      <c r="CQ17" s="213" t="s">
        <v>879</v>
      </c>
      <c r="CR17" s="213"/>
      <c r="CS17" s="154" t="s">
        <v>391</v>
      </c>
      <c r="CT17" s="155"/>
      <c r="CU17" s="155"/>
      <c r="CV17" s="155" t="s">
        <v>376</v>
      </c>
      <c r="CW17" s="155" t="s">
        <v>339</v>
      </c>
      <c r="CX17" s="155" t="s">
        <v>161</v>
      </c>
      <c r="CY17" s="155"/>
      <c r="CZ17" s="155"/>
      <c r="DA17" s="155"/>
      <c r="DB17" s="146" t="s">
        <v>888</v>
      </c>
      <c r="DC17" s="146" t="s">
        <v>889</v>
      </c>
      <c r="DD17" s="155"/>
      <c r="DE17" s="155" t="s">
        <v>518</v>
      </c>
      <c r="DF17" s="155" t="s">
        <v>412</v>
      </c>
      <c r="DG17" s="155"/>
      <c r="DH17" s="154" t="s">
        <v>429</v>
      </c>
      <c r="DI17" s="154" t="s">
        <v>430</v>
      </c>
      <c r="DJ17" s="154" t="s">
        <v>431</v>
      </c>
      <c r="DK17" s="154"/>
      <c r="DL17" s="154"/>
      <c r="DM17" s="154"/>
      <c r="DN17" s="154"/>
      <c r="DO17" s="154"/>
      <c r="DP17" s="154"/>
      <c r="DQ17" s="154"/>
      <c r="DR17" s="154"/>
      <c r="DS17" s="154"/>
      <c r="DT17" s="154"/>
      <c r="DU17" s="154" t="s">
        <v>602</v>
      </c>
      <c r="DV17" s="154"/>
      <c r="DW17" s="154"/>
      <c r="DX17" s="154"/>
      <c r="DY17" s="154"/>
      <c r="DZ17" s="154"/>
      <c r="EA17" s="154"/>
      <c r="EB17" s="154"/>
      <c r="EC17" s="154"/>
      <c r="ED17" s="154"/>
      <c r="EE17" s="154"/>
      <c r="EF17" s="154"/>
      <c r="EG17" s="154"/>
      <c r="EH17" s="154"/>
      <c r="EI17" s="154" t="s">
        <v>611</v>
      </c>
      <c r="EJ17" s="154"/>
      <c r="EK17" s="154"/>
      <c r="EL17" s="154"/>
      <c r="EM17" s="154"/>
      <c r="EN17" s="154"/>
      <c r="EO17" s="983" t="s">
        <v>890</v>
      </c>
      <c r="EP17" s="983" t="s">
        <v>897</v>
      </c>
      <c r="EQ17" s="983" t="s">
        <v>904</v>
      </c>
      <c r="ER17" s="997">
        <v>1000</v>
      </c>
      <c r="ES17" s="993"/>
      <c r="ET17" s="1137"/>
      <c r="EU17" s="1137"/>
      <c r="EV17" s="155" t="s">
        <v>790</v>
      </c>
      <c r="EW17" s="154"/>
      <c r="EX17" s="154"/>
      <c r="EY17" s="154"/>
      <c r="EZ17" s="154"/>
    </row>
    <row r="18" spans="1:156" ht="14.25" customHeight="1">
      <c r="A18" s="20" t="s">
        <v>1018</v>
      </c>
      <c r="B18" s="21" t="s">
        <v>404</v>
      </c>
      <c r="C18" s="22" t="s">
        <v>3</v>
      </c>
      <c r="D18" s="23" t="s">
        <v>82</v>
      </c>
      <c r="E18" s="21" t="s">
        <v>82</v>
      </c>
      <c r="F18" s="21" t="s">
        <v>141</v>
      </c>
      <c r="G18" s="6"/>
      <c r="H18" s="24"/>
      <c r="I18" s="25" t="s">
        <v>147</v>
      </c>
      <c r="J18" s="26" t="s">
        <v>891</v>
      </c>
      <c r="K18" s="26" t="s">
        <v>898</v>
      </c>
      <c r="L18" s="26" t="s">
        <v>899</v>
      </c>
      <c r="M18" s="26" t="s">
        <v>514</v>
      </c>
      <c r="N18" s="26" t="s">
        <v>153</v>
      </c>
      <c r="O18" s="26" t="s">
        <v>228</v>
      </c>
      <c r="P18" s="26" t="s">
        <v>469</v>
      </c>
      <c r="Q18" s="26" t="s">
        <v>470</v>
      </c>
      <c r="R18" s="26" t="s">
        <v>471</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522</v>
      </c>
      <c r="AT18" s="468" t="s">
        <v>329</v>
      </c>
      <c r="AU18" s="147" t="s">
        <v>330</v>
      </c>
      <c r="AV18" s="468" t="s">
        <v>331</v>
      </c>
      <c r="AW18" s="147" t="s">
        <v>332</v>
      </c>
      <c r="AX18" s="468" t="s">
        <v>333</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311</v>
      </c>
      <c r="BW18" s="153" t="s">
        <v>313</v>
      </c>
      <c r="BX18" s="153" t="s">
        <v>314</v>
      </c>
      <c r="BY18" s="172" t="s">
        <v>1006</v>
      </c>
      <c r="BZ18" s="173" t="s">
        <v>1008</v>
      </c>
      <c r="CA18" s="153"/>
      <c r="CB18" s="153"/>
      <c r="CC18" s="153"/>
      <c r="CD18" s="153"/>
      <c r="CE18" s="153"/>
      <c r="CF18" s="153"/>
      <c r="CG18" s="153"/>
      <c r="CH18" s="153"/>
      <c r="CI18" s="153" t="s">
        <v>507</v>
      </c>
      <c r="CJ18" s="153" t="s">
        <v>301</v>
      </c>
      <c r="CK18" s="153" t="s">
        <v>467</v>
      </c>
      <c r="CL18" s="153" t="s">
        <v>468</v>
      </c>
      <c r="CM18" s="153" t="s">
        <v>468</v>
      </c>
      <c r="CN18" s="153">
        <v>1175</v>
      </c>
      <c r="CO18" s="153">
        <v>1800</v>
      </c>
      <c r="CP18" s="288" t="s">
        <v>419</v>
      </c>
      <c r="CQ18" s="153" t="s">
        <v>1009</v>
      </c>
      <c r="CR18" s="153"/>
      <c r="CS18" s="153" t="s">
        <v>615</v>
      </c>
      <c r="CT18" s="155"/>
      <c r="CU18" s="155"/>
      <c r="CV18" s="155" t="s">
        <v>316</v>
      </c>
      <c r="CW18" s="155" t="s">
        <v>340</v>
      </c>
      <c r="CX18" s="155" t="s">
        <v>343</v>
      </c>
      <c r="CY18" s="155"/>
      <c r="CZ18" s="155"/>
      <c r="DA18" s="155"/>
      <c r="DB18" s="319" t="s">
        <v>880</v>
      </c>
      <c r="DC18" s="325"/>
      <c r="DD18" s="155"/>
      <c r="DE18" s="326" t="s">
        <v>517</v>
      </c>
      <c r="DF18" s="326" t="s">
        <v>892</v>
      </c>
      <c r="DG18" s="155"/>
      <c r="DH18" s="153" t="s">
        <v>437</v>
      </c>
      <c r="DI18" s="153" t="s">
        <v>435</v>
      </c>
      <c r="DJ18" s="153" t="s">
        <v>436</v>
      </c>
      <c r="DK18" s="153"/>
      <c r="DL18" s="153"/>
      <c r="DM18" s="154"/>
      <c r="DN18" s="154"/>
      <c r="DO18" s="154"/>
      <c r="DP18" s="154"/>
      <c r="DQ18" s="154"/>
      <c r="DR18" s="154"/>
      <c r="DS18" s="154"/>
      <c r="DT18" s="154"/>
      <c r="DU18" s="154" t="s">
        <v>603</v>
      </c>
      <c r="DV18" s="154"/>
      <c r="DW18" s="154"/>
      <c r="DX18" s="154"/>
      <c r="DY18" s="154"/>
      <c r="DZ18" s="154"/>
      <c r="EA18" s="154"/>
      <c r="EB18" s="154" t="s">
        <v>609</v>
      </c>
      <c r="EC18" s="154" t="s">
        <v>612</v>
      </c>
      <c r="ED18" s="154"/>
      <c r="EE18" s="154">
        <v>1200</v>
      </c>
      <c r="EF18" s="154">
        <v>600</v>
      </c>
      <c r="EG18" s="154"/>
      <c r="EH18" s="154"/>
      <c r="EI18" s="154" t="s">
        <v>614</v>
      </c>
      <c r="EJ18" s="154"/>
      <c r="EK18" s="154"/>
      <c r="EL18" s="154"/>
      <c r="EM18" s="154"/>
      <c r="EN18" s="154"/>
      <c r="EO18" s="319" t="s">
        <v>880</v>
      </c>
      <c r="EP18" s="319" t="s">
        <v>898</v>
      </c>
      <c r="EQ18" s="319" t="s">
        <v>899</v>
      </c>
      <c r="ER18" s="996">
        <v>1600</v>
      </c>
      <c r="ES18" s="338"/>
      <c r="ET18" s="1137"/>
      <c r="EU18" s="1137"/>
      <c r="EV18" s="155" t="s">
        <v>793</v>
      </c>
      <c r="EW18" s="154"/>
      <c r="EX18" s="154"/>
      <c r="EY18" s="154"/>
      <c r="EZ18" s="154"/>
    </row>
    <row r="19" spans="1:156" ht="14.25" customHeight="1" thickBot="1">
      <c r="A19" s="74" t="s">
        <v>0</v>
      </c>
      <c r="B19" s="75" t="s">
        <v>404</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bFo1htCAtO7svc6RurQ2if4UEeU3Fp+KCN0XbyZSWK685qdn4Lel5WcRfbiUI1J8r8pLEeB4ljyWy1epIQGJw==" saltValue="wQEJkF3U25eFNtCtXMrH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LOGROSAN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353</v>
      </c>
      <c r="B5" s="1230"/>
      <c r="C5" s="1807" t="str">
        <f>"Año:  " &amp;Criterios!B$5 &amp; "          Trimestre   " &amp;Criterios!D$5 &amp; " al " &amp;Criterios!D$6</f>
        <v>Año:  2026          Trimestre   1 al 1</v>
      </c>
      <c r="D5" s="1774" t="s">
        <v>378</v>
      </c>
      <c r="E5" s="1774" t="s">
        <v>553</v>
      </c>
      <c r="F5" s="1809" t="s">
        <v>408</v>
      </c>
      <c r="G5" s="1774" t="s">
        <v>130</v>
      </c>
      <c r="H5" s="1774" t="s">
        <v>583</v>
      </c>
      <c r="I5" s="1774" t="s">
        <v>554</v>
      </c>
      <c r="J5" s="1774" t="s">
        <v>657</v>
      </c>
      <c r="K5" s="1774" t="s">
        <v>658</v>
      </c>
      <c r="L5" s="1774" t="s">
        <v>555</v>
      </c>
      <c r="M5" s="1774" t="s">
        <v>523</v>
      </c>
      <c r="N5" s="1774" t="s">
        <v>659</v>
      </c>
      <c r="O5" s="1804" t="s">
        <v>581</v>
      </c>
      <c r="P5" s="1774" t="s">
        <v>677</v>
      </c>
      <c r="Q5" s="1774" t="s">
        <v>672</v>
      </c>
      <c r="R5" s="1774" t="s">
        <v>170</v>
      </c>
      <c r="S5" s="1792" t="s">
        <v>669</v>
      </c>
      <c r="T5" s="1792" t="s">
        <v>671</v>
      </c>
      <c r="U5" s="1774" t="s">
        <v>584</v>
      </c>
      <c r="V5" s="1792" t="s">
        <v>556</v>
      </c>
      <c r="W5" s="1774" t="s">
        <v>755</v>
      </c>
      <c r="X5" s="1774" t="s">
        <v>756</v>
      </c>
      <c r="Y5" s="1795" t="s">
        <v>660</v>
      </c>
      <c r="Z5" s="1798" t="s">
        <v>606</v>
      </c>
      <c r="AA5" s="1801" t="s">
        <v>557</v>
      </c>
      <c r="AB5" s="1798" t="s">
        <v>558</v>
      </c>
      <c r="AC5" s="1798" t="s">
        <v>559</v>
      </c>
      <c r="AD5" s="1789" t="s">
        <v>661</v>
      </c>
      <c r="AE5" s="1789" t="s">
        <v>763</v>
      </c>
      <c r="AF5" s="1774" t="s">
        <v>673</v>
      </c>
      <c r="AG5" s="1774" t="s">
        <v>524</v>
      </c>
      <c r="AH5" s="1774" t="s">
        <v>662</v>
      </c>
      <c r="AI5" s="1774" t="s">
        <v>181</v>
      </c>
      <c r="AJ5" s="1774" t="s">
        <v>725</v>
      </c>
      <c r="AK5" s="1774" t="s">
        <v>525</v>
      </c>
      <c r="AL5" s="1774" t="s">
        <v>526</v>
      </c>
      <c r="AM5" s="1774" t="s">
        <v>678</v>
      </c>
      <c r="AN5" s="1774" t="s">
        <v>527</v>
      </c>
      <c r="AO5" s="1774" t="s">
        <v>528</v>
      </c>
      <c r="AP5" s="1774" t="s">
        <v>529</v>
      </c>
      <c r="AQ5" s="1774" t="s">
        <v>530</v>
      </c>
      <c r="AR5" s="1774" t="s">
        <v>663</v>
      </c>
      <c r="AS5" s="1774" t="s">
        <v>184</v>
      </c>
      <c r="AT5" s="1780" t="s">
        <v>182</v>
      </c>
      <c r="AU5" s="1774" t="s">
        <v>674</v>
      </c>
      <c r="AV5" s="1783" t="s">
        <v>675</v>
      </c>
      <c r="AW5" s="1777" t="s">
        <v>532</v>
      </c>
      <c r="AX5" s="1774" t="s">
        <v>533</v>
      </c>
      <c r="AY5" s="1774" t="s">
        <v>604</v>
      </c>
      <c r="AZ5" s="1786" t="s">
        <v>605</v>
      </c>
      <c r="BA5" s="1774" t="s">
        <v>561</v>
      </c>
      <c r="BB5" s="1783" t="s">
        <v>562</v>
      </c>
      <c r="BC5" s="1777" t="s">
        <v>185</v>
      </c>
      <c r="BD5" s="1774" t="s">
        <v>563</v>
      </c>
      <c r="BE5" s="1774" t="s">
        <v>249</v>
      </c>
      <c r="BF5" s="1774" t="s">
        <v>250</v>
      </c>
      <c r="BG5" s="1774" t="s">
        <v>251</v>
      </c>
      <c r="BH5" s="1774" t="s">
        <v>564</v>
      </c>
      <c r="BI5" s="1774" t="s">
        <v>252</v>
      </c>
      <c r="BJ5" s="1774" t="s">
        <v>565</v>
      </c>
      <c r="BK5" s="1774" t="s">
        <v>579</v>
      </c>
      <c r="BL5" s="1774" t="s">
        <v>566</v>
      </c>
      <c r="BM5" s="1774" t="s">
        <v>567</v>
      </c>
      <c r="BN5" s="1774" t="s">
        <v>592</v>
      </c>
      <c r="BO5" s="1774" t="s">
        <v>585</v>
      </c>
      <c r="BP5" s="1774" t="s">
        <v>796</v>
      </c>
      <c r="BQ5" s="1774" t="s">
        <v>799</v>
      </c>
      <c r="BR5" s="1774" t="s">
        <v>801</v>
      </c>
      <c r="BS5" s="1774" t="s">
        <v>586</v>
      </c>
      <c r="BT5" s="1774" t="s">
        <v>568</v>
      </c>
      <c r="BU5" s="1774" t="s">
        <v>531</v>
      </c>
      <c r="BV5" s="1771" t="s">
        <v>757</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248</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0</v>
      </c>
      <c r="B10" s="1280" t="s">
        <v>248</v>
      </c>
      <c r="C10" s="1193" t="str">
        <f>Datos!A10</f>
        <v>Sección De Violencia sobre la Mujer del TI</v>
      </c>
      <c r="D10" s="1281"/>
      <c r="E10" s="1226">
        <f>IF(ISNUMBER(Datos!AQ10),Datos!AQ10," - ")</f>
        <v>0</v>
      </c>
      <c r="F10" s="1214" t="str">
        <f>IF(ISNUMBER(Datos!L10+Datos!K10-Datos!J10),Datos!L10+Datos!K10-Datos!J10," - ")</f>
        <v xml:space="preserve"> - </v>
      </c>
      <c r="G10" s="1246" t="str">
        <f>IF(ISNUMBER(Datos!I10),Datos!I10," - ")</f>
        <v xml:space="preserve"> - </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t="str">
        <f>IF(ISNUMBER(Datos!K10),Datos!K10," - ")</f>
        <v xml:space="preserve"> - </v>
      </c>
      <c r="AC10" s="1215" t="str">
        <f>IF(ISNUMBER(Datos!Q10),Datos!Q10," - ")</f>
        <v xml:space="preserve"> - </v>
      </c>
      <c r="AD10" s="1247"/>
      <c r="AE10" s="1262"/>
      <c r="AF10" s="1245" t="str">
        <f>IF(ISNUMBER(Datos!L10),Datos!L10,"-")</f>
        <v>-</v>
      </c>
      <c r="AG10" s="1247"/>
      <c r="AH10" s="1247"/>
      <c r="AI10" s="1247"/>
      <c r="AJ10" s="1247"/>
      <c r="AK10" s="1247"/>
      <c r="AL10" s="1258"/>
      <c r="AM10" s="1248" t="str">
        <f>IF(ISNUMBER(Datos!R10),Datos!R10," - ")</f>
        <v xml:space="preserve"> - </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t="str">
        <f>IF(ISNUMBER(Datos!M10),Datos!M10," - ")</f>
        <v xml:space="preserve"> - </v>
      </c>
      <c r="BD10" s="1218" t="str">
        <f>IF(ISNUMBER(Datos!N10),Datos!N10," - ")</f>
        <v xml:space="preserve"> - </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248</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248</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v>
      </c>
      <c r="O12" s="1247"/>
      <c r="P12" s="1247"/>
      <c r="Q12" s="1215">
        <f>IF(ISNUMBER(Datos!P12),Datos!P12,0)</f>
        <v>31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v>
      </c>
      <c r="AI12" s="1247" t="str">
        <f>IF(ISNUMBER(Datos!CD12),Datos!CD12,"-")</f>
        <v>-</v>
      </c>
      <c r="AJ12" s="1247" t="str">
        <f>IF(ISNUMBER(Datos!EN12),Datos!EN12," - ")</f>
        <v xml:space="preserve"> - </v>
      </c>
      <c r="AK12" s="1247"/>
      <c r="AL12" s="1258"/>
      <c r="AM12" s="1248">
        <f>IF(ISNUMBER(Datos!R12),Datos!R12," - ")</f>
        <v>388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v>
      </c>
      <c r="BD12" s="1218">
        <f>IF(ISNUMBER(Datos!N12),Datos!N12," - ")</f>
        <v>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0.74285714285714288</v>
      </c>
      <c r="BH12" s="1226">
        <f>IF(ISNUMBER(((IF(J_V="SI",Datos!L12/Datos!K12,(Datos!L12+Datos!AB12)/(Datos!K12+Datos!AA12)))*11)/factor_trimestre),((IF(J_V="SI",Datos!L12/Datos!K12,(Datos!L12+Datos!AB12)/(Datos!K12+Datos!AA12)))*11)/factor_trimestre," - ")</f>
        <v>10.423076923076923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-1.5228426395939087E-2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5</v>
      </c>
      <c r="O13" s="1393">
        <f t="shared" si="0"/>
        <v>0</v>
      </c>
      <c r="P13" s="1393">
        <f t="shared" si="0"/>
        <v>0</v>
      </c>
      <c r="Q13" s="1392">
        <f t="shared" si="0"/>
        <v>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37</v>
      </c>
      <c r="AD13" s="1392">
        <f t="shared" si="1"/>
        <v>0</v>
      </c>
      <c r="AE13" s="1392">
        <f t="shared" si="1"/>
        <v>0</v>
      </c>
      <c r="AF13" s="1392">
        <f t="shared" si="1"/>
        <v>0</v>
      </c>
      <c r="AG13" s="1392">
        <f t="shared" si="1"/>
        <v>0</v>
      </c>
      <c r="AH13" s="1392">
        <f t="shared" si="1"/>
        <v>1</v>
      </c>
      <c r="AI13" s="1392">
        <f t="shared" si="1"/>
        <v>0</v>
      </c>
      <c r="AJ13" s="1392">
        <f t="shared" si="1"/>
        <v>0</v>
      </c>
      <c r="AK13" s="1392">
        <f t="shared" si="1"/>
        <v>0</v>
      </c>
      <c r="AL13" s="1392">
        <f t="shared" si="1"/>
        <v>0</v>
      </c>
      <c r="AM13" s="1392">
        <f t="shared" si="1"/>
        <v>388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26</v>
      </c>
      <c r="BD13" s="1392">
        <f t="shared" si="1"/>
        <v>21</v>
      </c>
      <c r="BE13" s="1392">
        <f t="shared" si="1"/>
        <v>0</v>
      </c>
      <c r="BF13" s="1392">
        <f t="shared" si="1"/>
        <v>0</v>
      </c>
      <c r="BG13" s="1392">
        <f>IF(ISNUMBER(Datos!K13/Datos!J13),Datos!K13/Datos!J13," - ")</f>
        <v>0.73</v>
      </c>
      <c r="BH13" s="1396">
        <f>IF(ISNUMBER(((Datos!L13/Datos!K13)*11)/factor_trimestre),((Datos!L13/Datos!K13)*11)/factor_trimestre," - ")</f>
        <v>11.095890410958905</v>
      </c>
      <c r="BI13" s="1392">
        <f>IF(ISNUMBER('Resol  Asuntos'!D13/NºAsuntos!G13),'Resol  Asuntos'!D13/NºAsuntos!G13," - ")</f>
        <v>0.33333333333333331</v>
      </c>
      <c r="BJ13" s="1392" t="str">
        <f>IF(ISNUMBER(Datos!CI13/Datos!CJ13),Datos!CI13/Datos!CJ13," - ")</f>
        <v xml:space="preserve"> - </v>
      </c>
      <c r="BK13" s="1392">
        <f>SUBTOTAL(9,BK8:BK12)</f>
        <v>0</v>
      </c>
      <c r="BL13" s="1392" t="str">
        <f>IF(ISNUMBER((I13-AB13+L13)/(F13)),(I13-AB13+L13)/(F13)," - ")</f>
        <v xml:space="preserve"> - </v>
      </c>
      <c r="BM13" s="1397">
        <f>SUBTOTAL(9,BM9:BM12)</f>
        <v>-1.5228426395939087E-2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398</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398</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398</v>
      </c>
      <c r="C17" s="1337" t="str">
        <f>Datos!A17</f>
        <v xml:space="preserve">Sección Civil y de Inst. TI                      </v>
      </c>
      <c r="D17" s="1338"/>
      <c r="E17" s="1435">
        <f>IF(ISNUMBER(Datos!AQ17),Datos!AQ17," - ")</f>
        <v>1</v>
      </c>
      <c r="F17" s="1332">
        <f>IF(ISNUMBER(AF17+AB17-Datos!J17-L17),AF17+AB17-Datos!J17-L17," - ")</f>
        <v>117</v>
      </c>
      <c r="G17" s="1335">
        <f>IF(ISNUMBER(IF(D_I="SI",Datos!I17,Datos!I17+Datos!AC17)),IF(D_I="SI",Datos!I17,Datos!I17+Datos!AC17)," - ")</f>
        <v>117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118</v>
      </c>
      <c r="AC17" s="1215">
        <f>IF(ISNUMBER(Datos!Q17),Datos!Q17," - ")</f>
        <v>8</v>
      </c>
      <c r="AD17" s="1247"/>
      <c r="AE17" s="1262"/>
      <c r="AF17" s="1333">
        <f>IF(ISNUMBER(IF(D_I="SI",Datos!L17,Datos!L17+Datos!AF17)),IF(D_I="SI",Datos!L17,Datos!L17+Datos!AF17)," - ")</f>
        <v>118</v>
      </c>
      <c r="AG17" s="1247"/>
      <c r="AH17" s="1247"/>
      <c r="AI17" s="1247"/>
      <c r="AJ17" s="1247"/>
      <c r="AK17" s="1247"/>
      <c r="AL17" s="1258"/>
      <c r="AM17" s="1248">
        <f>IF(ISNUMBER(Datos!R17),Datos!R17," - ")</f>
        <v>15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v>
      </c>
      <c r="BD17" s="1218">
        <f>IF(ISNUMBER(Datos!N17),Datos!N17," - ")</f>
        <v>78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0.99159663865546221</v>
      </c>
      <c r="BH17" s="1226">
        <f>IF(ISNUMBER(((IF(D_I="SI",Datos!L17/Datos!K17,(Datos!L17+Datos!AF17)/(Datos!K17+Datos!AE17)))*11)/factor_trimestre),((IF(D_I="SI",Datos!L17/Datos!K17,(Datos!L17+Datos!AF17)/(Datos!K17+Datos!AE17)))*11)/factor_trimestre," - ")</f>
        <v>3</v>
      </c>
      <c r="BI17" s="1223">
        <f>IF(ISNUMBER('Resol  Asuntos'!D17/NºAsuntos!G17),'Resol  Asuntos'!D17/NºAsuntos!G17," - ")</f>
        <v>0.17796610169491525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0</v>
      </c>
      <c r="B18" s="1280" t="s">
        <v>398</v>
      </c>
      <c r="C18" s="1193" t="str">
        <f>Datos!A18</f>
        <v>Sección De Violencia sobre la Mujer del TI</v>
      </c>
      <c r="D18" s="1281"/>
      <c r="E18" s="1420">
        <f>IF(ISNUMBER(Datos!AQ18),Datos!AQ18," - ")</f>
        <v>0</v>
      </c>
      <c r="F18" s="1214" t="str">
        <f>IF(ISNUMBER(AF18+AB18-I18-L18),AF18+AB18-I18-L18," - ")</f>
        <v xml:space="preserve"> - </v>
      </c>
      <c r="G18" s="1246" t="str">
        <f>IF(ISNUMBER(IF(D_I="SI",Datos!I18,Datos!I18+Datos!AC18)),IF(D_I="SI",Datos!I18,Datos!I18+Datos!AC18)," - ")</f>
        <v xml:space="preserve"> - </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t="str">
        <f>IF(ISNUMBER(IF(D_I="SI",Datos!K18,Datos!K18+Datos!AE18)),IF(D_I="SI",Datos!K18,Datos!K18+Datos!AE18)," - ")</f>
        <v xml:space="preserve"> - </v>
      </c>
      <c r="AC18" s="1215" t="str">
        <f>IF(ISNUMBER(Datos!Q18),Datos!Q18," - ")</f>
        <v xml:space="preserve"> - </v>
      </c>
      <c r="AD18" s="1247"/>
      <c r="AE18" s="1262"/>
      <c r="AF18" s="1245" t="str">
        <f>IF(ISNUMBER(Datos!L18),Datos!L18,"-")</f>
        <v>-</v>
      </c>
      <c r="AG18" s="1247"/>
      <c r="AH18" s="1247"/>
      <c r="AI18" s="1247"/>
      <c r="AJ18" s="1247"/>
      <c r="AK18" s="1247"/>
      <c r="AL18" s="1258"/>
      <c r="AM18" s="1248" t="str">
        <f>IF(ISNUMBER(Datos!R18),Datos!R18," - ")</f>
        <v xml:space="preserve"> - </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t="str">
        <f>IF(ISNUMBER(Datos!M18),Datos!M18," - ")</f>
        <v xml:space="preserve"> - </v>
      </c>
      <c r="BD18" s="1218" t="str">
        <f>IF(ISNUMBER(Datos!N18),Datos!N18," - ")</f>
        <v xml:space="preserve"> - </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117</v>
      </c>
      <c r="G19" s="1391">
        <f>SUBTOTAL(9,G15:G18)</f>
        <v>117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118</v>
      </c>
      <c r="AC19" s="1392">
        <f t="shared" si="4"/>
        <v>8</v>
      </c>
      <c r="AD19" s="1392">
        <f t="shared" si="4"/>
        <v>0</v>
      </c>
      <c r="AE19" s="1392">
        <f t="shared" si="4"/>
        <v>0</v>
      </c>
      <c r="AF19" s="1392">
        <f t="shared" si="4"/>
        <v>118</v>
      </c>
      <c r="AG19" s="1392">
        <f t="shared" si="4"/>
        <v>0</v>
      </c>
      <c r="AH19" s="1392">
        <f t="shared" si="4"/>
        <v>0</v>
      </c>
      <c r="AI19" s="1392">
        <f t="shared" si="4"/>
        <v>0</v>
      </c>
      <c r="AJ19" s="1392">
        <f t="shared" si="4"/>
        <v>0</v>
      </c>
      <c r="AK19" s="1392">
        <f t="shared" si="4"/>
        <v>0</v>
      </c>
      <c r="AL19" s="1392">
        <f t="shared" si="4"/>
        <v>0</v>
      </c>
      <c r="AM19" s="1392">
        <f t="shared" si="4"/>
        <v>15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v>
      </c>
      <c r="BD19" s="1392">
        <f t="shared" si="4"/>
        <v>78</v>
      </c>
      <c r="BE19" s="1392">
        <f t="shared" si="4"/>
        <v>0</v>
      </c>
      <c r="BF19" s="1392">
        <f t="shared" si="4"/>
        <v>0</v>
      </c>
      <c r="BG19" s="1392">
        <f>IF(ISNUMBER(Datos!K19/Datos!J19),Datos!K19/Datos!J19," - ")</f>
        <v>0.99159663865546221</v>
      </c>
      <c r="BH19" s="1396">
        <f>IF(ISNUMBER(((Datos!L19/Datos!K19)*11)/factor_trimestre),((Datos!L19/Datos!K19)*11)/factor_trimestre," - ")</f>
        <v>3</v>
      </c>
      <c r="BI19" s="1392">
        <f>SUBTOTAL(9,BI15:BI18)</f>
        <v>0.17796610169491525</v>
      </c>
      <c r="BJ19" s="1392">
        <f>SUBTOTAL(9,BJ15:BJ18)</f>
        <v>0</v>
      </c>
      <c r="BK19" s="1392">
        <f>SUBTOTAL(9,BK15:BK18)</f>
        <v>0</v>
      </c>
      <c r="BL19" s="1392">
        <f>IF(ISNUMBER((I19-AB19+L19)/(F19)),(I19-AB19+L19)/(F19)," - ")</f>
        <v>-1.0085470085470085</v>
      </c>
      <c r="BM19" s="1398">
        <f>IF(ISNUMBER((Datos!P19-Datos!Q19)/(Datos!R19-Datos!P19+Datos!Q19)),(Datos!P19-Datos!Q19)/(Datos!R19-Datos!P19+Datos!Q19)," - ")</f>
        <v>-0.21052631578947367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117</v>
      </c>
      <c r="G20" s="1367">
        <f t="shared" si="6"/>
        <v>117</v>
      </c>
      <c r="H20" s="1369">
        <f t="shared" si="6"/>
        <v>0</v>
      </c>
      <c r="I20" s="1367">
        <f t="shared" si="6"/>
        <v>0</v>
      </c>
      <c r="J20" s="1369">
        <f t="shared" si="6"/>
        <v>0</v>
      </c>
      <c r="K20" s="1369">
        <f t="shared" si="6"/>
        <v>0</v>
      </c>
      <c r="L20" s="1386">
        <f t="shared" si="6"/>
        <v>0</v>
      </c>
      <c r="M20" s="1386">
        <f t="shared" si="6"/>
        <v>0</v>
      </c>
      <c r="N20" s="1386">
        <f t="shared" si="6"/>
        <v>5</v>
      </c>
      <c r="O20" s="1386">
        <f t="shared" si="6"/>
        <v>0</v>
      </c>
      <c r="P20" s="1386">
        <f t="shared" si="6"/>
        <v>0</v>
      </c>
      <c r="Q20" s="1369">
        <f t="shared" si="6"/>
        <v>35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118</v>
      </c>
      <c r="AC20" s="1368">
        <f t="shared" si="7"/>
        <v>45</v>
      </c>
      <c r="AD20" s="1368">
        <f t="shared" si="7"/>
        <v>0</v>
      </c>
      <c r="AE20" s="1368">
        <f t="shared" si="7"/>
        <v>0</v>
      </c>
      <c r="AF20" s="1371">
        <f t="shared" si="7"/>
        <v>118</v>
      </c>
      <c r="AG20" s="1371">
        <f t="shared" si="7"/>
        <v>0</v>
      </c>
      <c r="AH20" s="1371">
        <f t="shared" si="7"/>
        <v>1</v>
      </c>
      <c r="AI20" s="1371">
        <f t="shared" si="7"/>
        <v>0</v>
      </c>
      <c r="AJ20" s="1368">
        <f t="shared" si="7"/>
        <v>0</v>
      </c>
      <c r="AK20" s="1371">
        <f t="shared" si="7"/>
        <v>0</v>
      </c>
      <c r="AL20" s="1371">
        <f t="shared" si="7"/>
        <v>0</v>
      </c>
      <c r="AM20" s="1371">
        <f t="shared" si="7"/>
        <v>403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v>
      </c>
      <c r="BD20" s="1367">
        <f t="shared" si="7"/>
        <v>99</v>
      </c>
      <c r="BE20" s="1367">
        <f t="shared" si="7"/>
        <v>0</v>
      </c>
      <c r="BF20" s="1373">
        <f t="shared" si="7"/>
        <v>0</v>
      </c>
      <c r="BG20" s="1404">
        <f>IF(ISNUMBER(Datos!K20/Datos!J20),Datos!K20/Datos!J20," - ")</f>
        <v>0.87214611872146119</v>
      </c>
      <c r="BH20" s="1404">
        <f>IF(ISNUMBER(((Datos!L20/Datos!K20)*11)/factor_trimestre),((Datos!L20/Datos!K20)*11)/factor_trimestre," - ")</f>
        <v>6.0942408376963364</v>
      </c>
      <c r="BI20" s="1362">
        <f>IF(ISNUMBER(Datos!J20/Datos!I20),Datos!J20/Datos!I20," - ")</f>
        <v>0.60833333333333328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-1.0085470085470085</v>
      </c>
      <c r="BM20" s="1387">
        <f>IF(ISNUMBER((Datos!P20-Datos!Q20+R20)/(Datos!R20-Datos!P20+Datos!Q20-R20)),(Datos!P20-Datos!Q20+R20)/(Datos!R20-Datos!P20+Datos!Q20-R20)," - ")</f>
        <v>-2.4213075060532687E-2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266</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267</v>
      </c>
      <c r="D22" s="1261"/>
      <c r="E22" s="1288">
        <f>IF(ISNUMBER(STDEV(E8:E19)),STDEV(E8:E19),"-")</f>
        <v>0.5163977794943222</v>
      </c>
      <c r="F22" s="1298">
        <f>IF(ISNUMBER(STDEV(F8:F19)),STDEV(F8:F19),"-")</f>
        <v>67.549981495186216</v>
      </c>
      <c r="G22" s="1299">
        <f>IF(ISNUMBER(STDEV(G8:G19)),STDEV(G8:G19),"-")</f>
        <v>67.549981495186216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68.127331764375839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2.8867513459481291</v>
      </c>
      <c r="BD22" s="1298"/>
      <c r="BE22" s="1298">
        <f>IF(ISNUMBER(STDEV(BE8:BE19)),STDEV(BE8:BE19),"-")</f>
        <v>0</v>
      </c>
      <c r="BF22" s="1303">
        <f>IF(ISNUMBER(STDEV(BF8:BF19)),STDEV(BF8:BF19),"-")</f>
        <v>0</v>
      </c>
      <c r="BG22" s="1360">
        <f>IF(ISNUMBER(STDEV(BG8:BG19)),STDEV(BG8:BG19),"-")</f>
        <v>0.14741482918794335</v>
      </c>
      <c r="BH22" s="1361">
        <f>IF(ISNUMBER(STDEV(BH8:BH19)),STDEV(BH8:BH19),"-")</f>
        <v>4.4883525475559418</v>
      </c>
      <c r="BI22" s="1224">
        <f>IF(ISNUMBER(STDEV(BI8:BI19)),STDEV(BI8:BI19),"-")</f>
        <v>8.9701313009687617E-2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426</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264</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265</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PB06UgW9YNqSZZlVLEjkLijHIeJgNGw58XjUCWyySHt6o3snmi//nph1ElQRE01l0yuxgCPP4aUS7f56aNsXw==" saltValue="vCNFsrIGB070xpQniKXeP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LOGROSAN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353</v>
      </c>
      <c r="B5" s="271"/>
      <c r="C5" s="1812" t="str">
        <f>"Año:  " &amp;Criterios!B$5 &amp; "          Trimestre   " &amp;Criterios!D$5 &amp; " al " &amp;Criterios!D$6</f>
        <v>Año:  2026          Trimestre   1 al 1</v>
      </c>
      <c r="D5" s="1814" t="s">
        <v>378</v>
      </c>
      <c r="E5" s="1774" t="s">
        <v>553</v>
      </c>
      <c r="F5" s="1809" t="s">
        <v>408</v>
      </c>
      <c r="G5" s="1774" t="s">
        <v>130</v>
      </c>
      <c r="H5" s="1774" t="s">
        <v>583</v>
      </c>
      <c r="I5" s="1774" t="s">
        <v>554</v>
      </c>
      <c r="J5" s="1774" t="s">
        <v>676</v>
      </c>
      <c r="K5" s="1774" t="s">
        <v>555</v>
      </c>
      <c r="L5" s="1774" t="s">
        <v>581</v>
      </c>
      <c r="M5" s="1774" t="s">
        <v>677</v>
      </c>
      <c r="N5" s="1774" t="s">
        <v>580</v>
      </c>
      <c r="O5" s="1774" t="s">
        <v>607</v>
      </c>
      <c r="P5" s="1792" t="s">
        <v>669</v>
      </c>
      <c r="Q5" s="1792" t="s">
        <v>671</v>
      </c>
      <c r="R5" s="1774" t="s">
        <v>587</v>
      </c>
      <c r="S5" s="1774" t="s">
        <v>556</v>
      </c>
      <c r="T5" s="1774" t="s">
        <v>755</v>
      </c>
      <c r="U5" s="1774" t="s">
        <v>756</v>
      </c>
      <c r="V5" s="1795" t="s">
        <v>660</v>
      </c>
      <c r="W5" s="1798" t="s">
        <v>569</v>
      </c>
      <c r="X5" s="1801" t="s">
        <v>570</v>
      </c>
      <c r="Y5" s="1789" t="s">
        <v>588</v>
      </c>
      <c r="Z5" s="1789" t="s">
        <v>608</v>
      </c>
      <c r="AA5" s="1774" t="s">
        <v>560</v>
      </c>
      <c r="AB5" s="1774" t="s">
        <v>571</v>
      </c>
      <c r="AC5" s="1774" t="s">
        <v>572</v>
      </c>
      <c r="AD5" s="1774" t="s">
        <v>526</v>
      </c>
      <c r="AE5" s="1774" t="s">
        <v>678</v>
      </c>
      <c r="AF5" s="1774" t="s">
        <v>184</v>
      </c>
      <c r="AG5" s="1774" t="s">
        <v>573</v>
      </c>
      <c r="AH5" s="1774" t="s">
        <v>561</v>
      </c>
      <c r="AI5" s="1774" t="s">
        <v>562</v>
      </c>
      <c r="AJ5" s="1774" t="s">
        <v>574</v>
      </c>
      <c r="AK5" s="1774" t="s">
        <v>575</v>
      </c>
      <c r="AL5" s="1774" t="s">
        <v>576</v>
      </c>
      <c r="AM5" s="1786" t="s">
        <v>577</v>
      </c>
      <c r="AN5" s="1774" t="s">
        <v>251</v>
      </c>
      <c r="AO5" s="1774" t="s">
        <v>564</v>
      </c>
      <c r="AP5" s="1774" t="s">
        <v>565</v>
      </c>
      <c r="AQ5" s="1774" t="s">
        <v>589</v>
      </c>
      <c r="AR5" s="1774" t="s">
        <v>590</v>
      </c>
      <c r="AS5" s="1774" t="s">
        <v>592</v>
      </c>
      <c r="AT5" s="1774" t="s">
        <v>585</v>
      </c>
      <c r="AU5" s="1774" t="s">
        <v>796</v>
      </c>
      <c r="AV5" s="1774" t="s">
        <v>335</v>
      </c>
      <c r="AW5" s="1774" t="s">
        <v>578</v>
      </c>
      <c r="AX5" s="1774" t="s">
        <v>531</v>
      </c>
      <c r="BU5" s="1774" t="s">
        <v>757</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591</v>
      </c>
      <c r="B9" s="500" t="s">
        <v>248</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0</v>
      </c>
      <c r="B10" s="506" t="s">
        <v>248</v>
      </c>
      <c r="C10" s="7" t="str">
        <f>Datos!A10</f>
        <v>Sección De Violencia sobre la Mujer del TI</v>
      </c>
      <c r="D10" s="507"/>
      <c r="E10" s="1163">
        <f>IF(ISNUMBER(Datos!AQ10),Datos!AQ10," - ")</f>
        <v>0</v>
      </c>
      <c r="F10" s="224" t="str">
        <f>IF(ISNUMBER(Datos!L10+Datos!K10-Datos!J10),Datos!L10+Datos!K10-Datos!J10," - ")</f>
        <v xml:space="preserve"> - </v>
      </c>
      <c r="G10" s="224" t="str">
        <f>IF(ISNUMBER(Datos!I10),Datos!I10," - ")</f>
        <v xml:space="preserve"> - </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t="str">
        <f>IF(ISNUMBER(Datos!K10),Datos!K10," - ")</f>
        <v xml:space="preserve"> - </v>
      </c>
      <c r="Z10" s="617" t="str">
        <f>IF(ISNUMBER(Datos!Q10),Datos!Q10," - ")</f>
        <v xml:space="preserve"> - </v>
      </c>
      <c r="AA10" s="331" t="str">
        <f>IF(ISNUMBER(Datos!L10),Datos!L10,"-")</f>
        <v>-</v>
      </c>
      <c r="AB10" s="333"/>
      <c r="AC10" s="333"/>
      <c r="AD10" s="483"/>
      <c r="AE10" s="483" t="str">
        <f>IF(ISNUMBER(Datos!R10),Datos!R10," - ")</f>
        <v xml:space="preserve"> - </v>
      </c>
      <c r="AF10" s="228" t="str">
        <f>IF(ISNUMBER(Datos!BV10),Datos!BV10," - ")</f>
        <v xml:space="preserve"> - </v>
      </c>
      <c r="AG10" s="224" t="str">
        <f>IF(ISNUMBER(Datos!DV10),Datos!DV10," - ")</f>
        <v xml:space="preserve"> - </v>
      </c>
      <c r="AH10" s="297"/>
      <c r="AI10" s="226"/>
      <c r="AJ10" s="224" t="str">
        <f>IF(ISNUMBER(Datos!M10),Datos!M10," - ")</f>
        <v xml:space="preserve"> - </v>
      </c>
      <c r="AK10" s="228" t="str">
        <f>IF(ISNUMBER(Datos!N10),Datos!N10," - ")</f>
        <v xml:space="preserve"> - </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248</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248</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388</v>
      </c>
      <c r="AF12" s="228" t="str">
        <f>IF(ISNUMBER(Datos!BV12),Datos!BV12," - ")</f>
        <v xml:space="preserve"> - </v>
      </c>
      <c r="AG12" s="224" t="str">
        <f>IF(ISNUMBER(Datos!DV12),Datos!DV12," - ")</f>
        <v xml:space="preserve"> - </v>
      </c>
      <c r="AH12" s="297"/>
      <c r="AI12" s="226"/>
      <c r="AJ12" s="224">
        <f>IF(ISNUMBER(Datos!M12),Datos!M12," - ")</f>
        <v>26</v>
      </c>
      <c r="AK12" s="228">
        <f>IF(ISNUMBER(Datos!N12),Datos!N12," - ")</f>
        <v>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10.423076923076923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-1.5228426395939087E-2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37</v>
      </c>
      <c r="AA13" s="897">
        <f t="shared" si="2"/>
        <v>0</v>
      </c>
      <c r="AB13" s="897">
        <f t="shared" si="2"/>
        <v>0</v>
      </c>
      <c r="AC13" s="897">
        <f t="shared" si="2"/>
        <v>0</v>
      </c>
      <c r="AD13" s="897">
        <f t="shared" si="2"/>
        <v>0</v>
      </c>
      <c r="AE13" s="897">
        <f t="shared" si="2"/>
        <v>388</v>
      </c>
      <c r="AF13" s="905">
        <f t="shared" si="2"/>
        <v>0</v>
      </c>
      <c r="AG13" s="905">
        <f t="shared" si="2"/>
        <v>0</v>
      </c>
      <c r="AH13" s="905">
        <f t="shared" si="2"/>
        <v>0</v>
      </c>
      <c r="AI13" s="905">
        <f t="shared" si="2"/>
        <v>0</v>
      </c>
      <c r="AJ13" s="905">
        <f t="shared" si="2"/>
        <v>26</v>
      </c>
      <c r="AK13" s="905">
        <f t="shared" si="2"/>
        <v>21</v>
      </c>
      <c r="AL13" s="905">
        <f t="shared" si="2"/>
        <v>0</v>
      </c>
      <c r="AM13" s="905">
        <f t="shared" si="2"/>
        <v>0</v>
      </c>
      <c r="AN13" s="905">
        <f t="shared" si="2"/>
        <v>0</v>
      </c>
      <c r="AO13" s="901">
        <f>IF(ISNUMBER(((NºAsuntos!I13/NºAsuntos!G13)*11)/factor_trimestre),((NºAsuntos!I13/NºAsuntos!G13)*11)/factor_trimestre," - ")</f>
        <v>10.423076923076923</v>
      </c>
      <c r="AP13" s="907" t="str">
        <f>IF(ISNUMBER(Datos!CI13/Datos!CJ13),Datos!CI13/Datos!CJ13," - ")</f>
        <v xml:space="preserve"> - </v>
      </c>
      <c r="AQ13" s="923">
        <f t="shared" ref="AQ13:AV13" si="3">SUBTOTAL(9,AQ9:AQ12)</f>
        <v>0</v>
      </c>
      <c r="AR13" s="923">
        <f t="shared" si="3"/>
        <v>-1.5228426395939087E-2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398</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398</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398</v>
      </c>
      <c r="C17" s="159" t="str">
        <f>Datos!A17</f>
        <v xml:space="preserve">Sección Civil y de Inst. TI                      </v>
      </c>
      <c r="D17" s="501"/>
      <c r="E17" s="1163">
        <f>IF(ISNUMBER(Datos!AQ17),Datos!AQ17," - ")</f>
        <v>1</v>
      </c>
      <c r="F17" s="332">
        <f>IF(ISNUMBER(AA17+Y17-Datos!J17-K15),AA17+Y17-Datos!J17-K15," - ")</f>
        <v>117</v>
      </c>
      <c r="G17" s="224">
        <f>IF(ISNUMBER(IF(D_I="SI",Datos!I17,Datos!I17+Datos!AC17)),IF(D_I="SI",Datos!I17,Datos!I17+Datos!AC17)," - ")</f>
        <v>117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118</v>
      </c>
      <c r="Z17" s="617">
        <f>IF(ISNUMBER(Datos!Q17),Datos!Q17," - ")</f>
        <v>8</v>
      </c>
      <c r="AA17" s="331">
        <f>IF(ISNUMBER(IF(D_I="SI",Datos!L17,Datos!L17+Datos!AF17)),IF(D_I="SI",Datos!L17,Datos!L17+Datos!AF17)," - ")</f>
        <v>118</v>
      </c>
      <c r="AB17" s="333"/>
      <c r="AC17" s="333"/>
      <c r="AD17" s="483"/>
      <c r="AE17" s="483">
        <f>IF(ISNUMBER(Datos!R17),Datos!R17," - ")</f>
        <v>15</v>
      </c>
      <c r="AF17" s="228" t="str">
        <f>IF(ISNUMBER(Datos!BV17),Datos!BV17," - ")</f>
        <v xml:space="preserve"> - </v>
      </c>
      <c r="AG17" s="224"/>
      <c r="AH17" s="297"/>
      <c r="AI17" s="226"/>
      <c r="AJ17" s="224">
        <f>IF(ISNUMBER(Datos!M17),Datos!M17," - ")</f>
        <v>21</v>
      </c>
      <c r="AK17" s="228">
        <f>IF(ISNUMBER(Datos!N17),Datos!N17," - ")</f>
        <v>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0</v>
      </c>
      <c r="B18" s="506" t="s">
        <v>398</v>
      </c>
      <c r="C18" s="7" t="str">
        <f>Datos!A18</f>
        <v>Sección De Violencia sobre la Mujer del TI</v>
      </c>
      <c r="D18" s="507"/>
      <c r="E18" s="1163">
        <f>IF(ISNUMBER(Datos!AQ18),Datos!AQ18," - ")</f>
        <v>0</v>
      </c>
      <c r="F18" s="224" t="str">
        <f>IF(ISNUMBER(AA18+Y18-I18-K18),AA18+Y18-I18-K18," - ")</f>
        <v xml:space="preserve"> - </v>
      </c>
      <c r="G18" s="522" t="str">
        <f>IF(ISNUMBER(IF(D_I="SI",Datos!I18,Datos!I18+Datos!AC18)),IF(D_I="SI",Datos!I18,Datos!I18+Datos!AC18)," - ")</f>
        <v xml:space="preserve"> - </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t="str">
        <f>IF(ISNUMBER(IF(D_I="SI",Datos!K18,Datos!K18+Datos!AE18)),IF(D_I="SI",Datos!K18,Datos!K18+Datos!AE18)," - ")</f>
        <v xml:space="preserve"> - </v>
      </c>
      <c r="Z18" s="617" t="str">
        <f>IF(ISNUMBER(Datos!Q18),Datos!Q18," - ")</f>
        <v xml:space="preserve"> - </v>
      </c>
      <c r="AA18" s="331" t="str">
        <f>IF(ISNUMBER(Datos!L18),Datos!L18,"-")</f>
        <v>-</v>
      </c>
      <c r="AB18" s="333"/>
      <c r="AC18" s="333"/>
      <c r="AD18" s="483"/>
      <c r="AE18" s="483" t="str">
        <f>IF(ISNUMBER(Datos!R18),Datos!R18," - ")</f>
        <v xml:space="preserve"> - </v>
      </c>
      <c r="AF18" s="228" t="str">
        <f>IF(ISNUMBER(Datos!BV18),Datos!BV18," - ")</f>
        <v xml:space="preserve"> - </v>
      </c>
      <c r="AG18" s="224" t="str">
        <f>IF(ISNUMBER(Datos!DV18),Datos!DV18," - ")</f>
        <v xml:space="preserve"> - </v>
      </c>
      <c r="AH18" s="297"/>
      <c r="AI18" s="226"/>
      <c r="AJ18" s="224" t="str">
        <f>IF(ISNUMBER(Datos!M18),Datos!M18," - ")</f>
        <v xml:space="preserve"> - </v>
      </c>
      <c r="AK18" s="228" t="str">
        <f>IF(ISNUMBER(Datos!N18),Datos!N18," - ")</f>
        <v xml:space="preserve"> - </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117</v>
      </c>
      <c r="G19" s="895">
        <f>SUBTOTAL(9,G15:G18)</f>
        <v>117</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118</v>
      </c>
      <c r="Z19" s="927">
        <f t="shared" si="5"/>
        <v>8</v>
      </c>
      <c r="AA19" s="927">
        <f t="shared" si="5"/>
        <v>118</v>
      </c>
      <c r="AB19" s="927">
        <f t="shared" si="5"/>
        <v>0</v>
      </c>
      <c r="AC19" s="927">
        <f t="shared" si="5"/>
        <v>0</v>
      </c>
      <c r="AD19" s="927">
        <f t="shared" si="5"/>
        <v>0</v>
      </c>
      <c r="AE19" s="927">
        <f t="shared" si="5"/>
        <v>15</v>
      </c>
      <c r="AF19" s="927">
        <f t="shared" si="5"/>
        <v>0</v>
      </c>
      <c r="AG19" s="927">
        <f t="shared" si="5"/>
        <v>0</v>
      </c>
      <c r="AH19" s="927">
        <f t="shared" si="5"/>
        <v>0</v>
      </c>
      <c r="AI19" s="927">
        <f t="shared" si="5"/>
        <v>0</v>
      </c>
      <c r="AJ19" s="927">
        <f t="shared" si="5"/>
        <v>21</v>
      </c>
      <c r="AK19" s="927">
        <f t="shared" si="5"/>
        <v>78</v>
      </c>
      <c r="AL19" s="927">
        <f t="shared" si="5"/>
        <v>0</v>
      </c>
      <c r="AM19" s="927">
        <f t="shared" si="5"/>
        <v>0</v>
      </c>
      <c r="AN19" s="927">
        <f t="shared" si="5"/>
        <v>0</v>
      </c>
      <c r="AO19" s="929">
        <f>IF(ISNUMBER(((NºAsuntos!I19/NºAsuntos!G19)*11)/factor_trimestre),((NºAsuntos!I19/NºAsuntos!G19)*11)/factor_trimestre," - ")</f>
        <v>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117</v>
      </c>
      <c r="G20" s="817">
        <f t="shared" si="7"/>
        <v>117</v>
      </c>
      <c r="H20" s="818">
        <f t="shared" si="7"/>
        <v>0</v>
      </c>
      <c r="I20" s="817">
        <f t="shared" si="7"/>
        <v>0</v>
      </c>
      <c r="J20" s="819">
        <f t="shared" si="7"/>
        <v>0</v>
      </c>
      <c r="K20" s="817">
        <f t="shared" si="7"/>
        <v>0</v>
      </c>
      <c r="L20" s="820">
        <f t="shared" si="7"/>
        <v>0</v>
      </c>
      <c r="M20" s="817">
        <f t="shared" si="7"/>
        <v>0</v>
      </c>
      <c r="N20" s="818">
        <f t="shared" si="7"/>
        <v>35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118</v>
      </c>
      <c r="Z20" s="824">
        <f t="shared" si="8"/>
        <v>45</v>
      </c>
      <c r="AA20" s="825">
        <f t="shared" si="8"/>
        <v>118</v>
      </c>
      <c r="AB20" s="825">
        <f t="shared" si="8"/>
        <v>0</v>
      </c>
      <c r="AC20" s="825">
        <f t="shared" si="8"/>
        <v>0</v>
      </c>
      <c r="AD20" s="826">
        <f t="shared" si="8"/>
        <v>0</v>
      </c>
      <c r="AE20" s="826">
        <f t="shared" si="8"/>
        <v>403</v>
      </c>
      <c r="AF20" s="827">
        <f t="shared" si="8"/>
        <v>0</v>
      </c>
      <c r="AG20" s="828">
        <f t="shared" si="8"/>
        <v>0</v>
      </c>
      <c r="AH20" s="829">
        <f t="shared" si="8"/>
        <v>0</v>
      </c>
      <c r="AI20" s="827">
        <f t="shared" si="8"/>
        <v>0</v>
      </c>
      <c r="AJ20" s="817">
        <f t="shared" si="8"/>
        <v>47</v>
      </c>
      <c r="AK20" s="817">
        <f t="shared" si="8"/>
        <v>99</v>
      </c>
      <c r="AL20" s="817">
        <f t="shared" si="8"/>
        <v>0</v>
      </c>
      <c r="AM20" s="830">
        <f t="shared" si="8"/>
        <v>0</v>
      </c>
      <c r="AN20" s="820">
        <f>IF(ISNUMBER(Datos!K20/Datos!J20),Datos!K20/Datos!J20," - ")</f>
        <v>0.87214611872146119</v>
      </c>
      <c r="AO20" s="820">
        <f>IF(ISNUMBER(FIND("06",Criterios!A8,1)),(IF(ISNUMBER(((Datos!R20/Datos!Q20)*11)/factor_trimestre),((Datos!R20/Datos!Q20)*11)/factor_trimestre," - ")),(IF(ISNUMBER(((Datos!L20/Datos!K20)*11)/factor_trimestre),((Datos!L20/Datos!K20)*11)/factor_trimestre," - ")))</f>
        <v>6.0942408376963364</v>
      </c>
      <c r="AP20" s="831" t="str">
        <f>IF(ISNUMBER(Datos!CI20/Datos!CJ20),Datos!CI20/Datos!CJ20," - ")</f>
        <v xml:space="preserve"> - </v>
      </c>
      <c r="AQ20" s="831">
        <f>IF(OR(ISNUMBER(FIND("01",Criterios!A8,1)),ISNUMBER(FIND("02",Criterios!A8,1)),ISNUMBER(FIND("03",Criterios!A8,1)),ISNUMBER(FIND("04",Criterios!A8,1))),(J20-Y20+K20)/(F20-K20),(I20-Y20+K20)/(F20-K20))</f>
        <v>-1.0085470085470085</v>
      </c>
      <c r="AR20" s="831">
        <f>IF(ISNUMBER((Datos!P20-Datos!Q20+O20)/(Datos!R20-Datos!P20+Datos!Q20-O20)),(Datos!P20-Datos!Q20+O20)/(Datos!R20-Datos!P20+Datos!Q20-O20)," - ")</f>
        <v>-2.4213075060532687E-2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266</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267</v>
      </c>
      <c r="D22" s="340"/>
      <c r="E22" s="579"/>
      <c r="F22" s="251">
        <f>IF(ISNUMBER(STDEV(F8:F19)),STDEV(F8:F19),"-")</f>
        <v>67.549981495186216</v>
      </c>
      <c r="G22" s="551">
        <f>IF(ISNUMBER(STDEV(G8:G19)),STDEV(G8:G19),"-")</f>
        <v>67.549981495186216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2.8867513459481291</v>
      </c>
      <c r="AK22" s="251"/>
      <c r="AL22" s="251">
        <f>IF(ISNUMBER(STDEV(AL8:AL19)),STDEV(AL8:AL19),"-")</f>
        <v>0</v>
      </c>
      <c r="AM22" s="253">
        <f>IF(ISNUMBER(STDEV(AM8:AM19)),STDEV(AM8:AM19),"-")</f>
        <v>0</v>
      </c>
      <c r="AN22" s="538">
        <f>IF(ISNUMBER(STDEV(AN8:AN19)),STDEV(AN8:AN19),"-")</f>
        <v>0</v>
      </c>
      <c r="AO22" s="539">
        <f>IF(ISNUMBER(STDEV(AO8:AO19)),STDEV(AO8:AO19),"-")</f>
        <v>4.285715459753761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264</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265</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2hSQiw6SZ0ULd5FdSKsuDCenqLNq9GAKrxQiSdJhh8awDbr6EZYulnK24bpHcoC6rmW1djuV5Sl/ARJgRvR2A==" saltValue="FpIBKRCXivD3av9UAEbH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621</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622</v>
      </c>
      <c r="B4" s="1822" t="s">
        <v>724</v>
      </c>
      <c r="C4" s="1822" t="s">
        <v>623</v>
      </c>
      <c r="D4" s="1822" t="s">
        <v>684</v>
      </c>
      <c r="E4" s="1824" t="s">
        <v>685</v>
      </c>
      <c r="F4" s="1822" t="s">
        <v>624</v>
      </c>
      <c r="G4" s="1824" t="s">
        <v>454</v>
      </c>
      <c r="H4" s="1817" t="s">
        <v>625</v>
      </c>
      <c r="I4" s="1817" t="s">
        <v>626</v>
      </c>
      <c r="J4" s="1817" t="s">
        <v>627</v>
      </c>
      <c r="K4" s="1819" t="s">
        <v>274</v>
      </c>
      <c r="L4" s="1820"/>
      <c r="M4" s="1820"/>
      <c r="N4" s="1821"/>
      <c r="O4" s="1819" t="s">
        <v>449</v>
      </c>
      <c r="P4" s="1820"/>
      <c r="Q4" s="1820"/>
      <c r="R4" s="1821"/>
    </row>
    <row r="5" spans="1:18" ht="27.75" customHeight="1" thickBot="1">
      <c r="A5" s="1823"/>
      <c r="B5" s="1823"/>
      <c r="C5" s="1823"/>
      <c r="D5" s="1823"/>
      <c r="E5" s="1823"/>
      <c r="F5" s="1823"/>
      <c r="G5" s="1823"/>
      <c r="H5" s="1818"/>
      <c r="I5" s="1818"/>
      <c r="J5" s="1818"/>
      <c r="K5" s="843" t="s">
        <v>450</v>
      </c>
      <c r="L5" s="843" t="s">
        <v>451</v>
      </c>
      <c r="M5" s="843" t="s">
        <v>452</v>
      </c>
      <c r="N5" s="843" t="s">
        <v>453</v>
      </c>
      <c r="O5" s="844" t="s">
        <v>450</v>
      </c>
      <c r="P5" s="843" t="s">
        <v>451</v>
      </c>
      <c r="Q5" s="843" t="s">
        <v>452</v>
      </c>
      <c r="R5" s="843" t="s">
        <v>453</v>
      </c>
    </row>
  </sheetData>
  <sheetProtection algorithmName="SHA-512" hashValue="yawsaGGfkRQ0bx3r2dCTXK8gz1qwJ9i6y2g7LQa6Ro3yDTzUm6QknaD8jQ2mqAkvuT2FO6ycc2T9nrRxATQA/A==" saltValue="t21kywsFNPEHyrZZDfU8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400</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151</v>
      </c>
      <c r="BC1" s="31" t="s">
        <v>219</v>
      </c>
      <c r="BD1" s="30" t="s">
        <v>155</v>
      </c>
      <c r="BE1" s="50" t="s">
        <v>158</v>
      </c>
      <c r="BF1" s="31" t="s">
        <v>159</v>
      </c>
      <c r="BG1" s="30" t="s">
        <v>214</v>
      </c>
      <c r="BH1" s="50" t="s">
        <v>215</v>
      </c>
      <c r="BI1" s="31" t="s">
        <v>222</v>
      </c>
      <c r="BJ1" s="30" t="s">
        <v>233</v>
      </c>
      <c r="BK1" s="50" t="s">
        <v>236</v>
      </c>
      <c r="BL1" s="31" t="s">
        <v>237</v>
      </c>
      <c r="BM1" s="30" t="s">
        <v>242</v>
      </c>
      <c r="BN1" s="50" t="s">
        <v>258</v>
      </c>
      <c r="BO1" s="31" t="s">
        <v>259</v>
      </c>
      <c r="BP1" s="30" t="s">
        <v>260</v>
      </c>
      <c r="BQ1" s="50" t="s">
        <v>262</v>
      </c>
      <c r="BR1" s="31" t="s">
        <v>268</v>
      </c>
      <c r="BS1" s="30" t="s">
        <v>269</v>
      </c>
      <c r="BT1" s="50" t="s">
        <v>270</v>
      </c>
      <c r="BU1" s="31" t="s">
        <v>284</v>
      </c>
      <c r="BV1" s="30" t="s">
        <v>285</v>
      </c>
      <c r="BW1" s="50" t="s">
        <v>286</v>
      </c>
      <c r="BX1" s="31" t="s">
        <v>291</v>
      </c>
      <c r="BY1" s="30" t="s">
        <v>293</v>
      </c>
      <c r="BZ1" s="50" t="s">
        <v>298</v>
      </c>
      <c r="CA1" s="31" t="s">
        <v>299</v>
      </c>
      <c r="CB1" s="30" t="s">
        <v>352</v>
      </c>
      <c r="CC1" s="50" t="s">
        <v>354</v>
      </c>
      <c r="CD1" s="31" t="s">
        <v>356</v>
      </c>
      <c r="CE1" s="30" t="s">
        <v>366</v>
      </c>
      <c r="CF1" s="50" t="s">
        <v>367</v>
      </c>
      <c r="CG1" s="31" t="s">
        <v>368</v>
      </c>
      <c r="CH1" s="30" t="s">
        <v>369</v>
      </c>
      <c r="CI1" s="50" t="s">
        <v>392</v>
      </c>
      <c r="CJ1" s="31" t="s">
        <v>394</v>
      </c>
      <c r="CK1" s="30" t="s">
        <v>232</v>
      </c>
      <c r="CL1" s="50" t="s">
        <v>318</v>
      </c>
      <c r="CM1" s="31" t="s">
        <v>321</v>
      </c>
      <c r="CN1" s="30" t="s">
        <v>336</v>
      </c>
      <c r="CO1" s="50" t="s">
        <v>337</v>
      </c>
      <c r="CP1" s="31" t="s">
        <v>346</v>
      </c>
      <c r="CQ1" s="30" t="s">
        <v>347</v>
      </c>
      <c r="CR1" s="31" t="s">
        <v>348</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410</v>
      </c>
      <c r="DF1" s="31" t="s">
        <v>43</v>
      </c>
      <c r="DG1" s="30" t="s">
        <v>448</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275</v>
      </c>
      <c r="CF4" s="1721"/>
      <c r="CG4" s="1721"/>
      <c r="CH4" s="1722"/>
    </row>
    <row r="5" spans="1:156" ht="12.75" customHeight="1" thickBot="1">
      <c r="A5" s="1690" t="str">
        <f>"Año:  " &amp;Criterios!B5 &amp; "                  Trimestre   " &amp;Criterios!D5 &amp; " al " &amp;Criterios!D6</f>
        <v>Año:  2026                  Trimestre   1 al 1</v>
      </c>
      <c r="B5" s="1692" t="s">
        <v>401</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156</v>
      </c>
      <c r="AT5" s="1676" t="s">
        <v>157</v>
      </c>
      <c r="AU5" s="1676" t="s">
        <v>240</v>
      </c>
      <c r="AV5" s="1676" t="s">
        <v>238</v>
      </c>
      <c r="AW5" s="1676" t="s">
        <v>241</v>
      </c>
      <c r="AX5" s="1676" t="s">
        <v>239</v>
      </c>
      <c r="AY5" s="1684" t="s">
        <v>108</v>
      </c>
      <c r="AZ5" s="1685"/>
      <c r="BA5" s="1685"/>
      <c r="BB5" s="1685"/>
      <c r="BC5" s="1686"/>
      <c r="BD5" s="1684" t="s">
        <v>109</v>
      </c>
      <c r="BE5" s="1726"/>
      <c r="BF5" s="1726"/>
      <c r="BG5" s="1727"/>
      <c r="BH5" s="1673" t="s">
        <v>149</v>
      </c>
      <c r="BI5" s="1673" t="s">
        <v>150</v>
      </c>
      <c r="BJ5" s="1681" t="s">
        <v>213</v>
      </c>
      <c r="BK5" s="1734" t="s">
        <v>216</v>
      </c>
      <c r="BL5" s="1734" t="s">
        <v>223</v>
      </c>
      <c r="BM5" s="1678" t="s">
        <v>319</v>
      </c>
      <c r="BN5" s="1582" t="s">
        <v>203</v>
      </c>
      <c r="BO5" s="1583"/>
      <c r="BP5" s="1582" t="s">
        <v>204</v>
      </c>
      <c r="BQ5" s="1583"/>
      <c r="BR5" s="1582" t="s">
        <v>205</v>
      </c>
      <c r="BS5" s="1583"/>
      <c r="BT5" s="1582" t="s">
        <v>206</v>
      </c>
      <c r="BU5" s="1583"/>
      <c r="BV5" s="1731" t="s">
        <v>274</v>
      </c>
      <c r="BW5" s="1737" t="s">
        <v>254</v>
      </c>
      <c r="BX5" s="1737" t="s">
        <v>255</v>
      </c>
      <c r="BY5" s="1723" t="s">
        <v>261</v>
      </c>
      <c r="BZ5" s="1723" t="s">
        <v>351</v>
      </c>
      <c r="CA5" s="1651" t="s">
        <v>290</v>
      </c>
      <c r="CB5" s="1651" t="s">
        <v>281</v>
      </c>
      <c r="CC5" s="1651" t="s">
        <v>282</v>
      </c>
      <c r="CD5" s="1651" t="s">
        <v>283</v>
      </c>
      <c r="CE5" s="1663" t="s">
        <v>294</v>
      </c>
      <c r="CF5" s="1663" t="s">
        <v>273</v>
      </c>
      <c r="CG5" s="1663" t="s">
        <v>271</v>
      </c>
      <c r="CH5" s="1663" t="s">
        <v>272</v>
      </c>
      <c r="CI5" s="1645" t="s">
        <v>296</v>
      </c>
      <c r="CJ5" s="1645" t="s">
        <v>297</v>
      </c>
      <c r="CK5" s="1648" t="s">
        <v>427</v>
      </c>
      <c r="CL5" s="1648" t="s">
        <v>428</v>
      </c>
      <c r="CM5" s="1648" t="s">
        <v>445</v>
      </c>
      <c r="CN5" s="1664" t="s">
        <v>372</v>
      </c>
      <c r="CO5" s="1664" t="s">
        <v>365</v>
      </c>
      <c r="CP5" s="1664" t="s">
        <v>371</v>
      </c>
      <c r="CQ5" s="1667" t="s">
        <v>370</v>
      </c>
      <c r="CR5" s="1667" t="s">
        <v>370</v>
      </c>
      <c r="CS5" s="1663" t="s">
        <v>390</v>
      </c>
      <c r="CT5" s="1663" t="s">
        <v>393</v>
      </c>
      <c r="CU5" s="1663" t="s">
        <v>231</v>
      </c>
      <c r="CV5" s="1663" t="s">
        <v>315</v>
      </c>
      <c r="CW5" s="1663" t="s">
        <v>335</v>
      </c>
      <c r="CX5" s="1663" t="s">
        <v>342</v>
      </c>
      <c r="CY5" s="1663" t="s">
        <v>438</v>
      </c>
      <c r="CZ5" s="1663" t="s">
        <v>439</v>
      </c>
      <c r="DA5" s="1663" t="s">
        <v>440</v>
      </c>
      <c r="DB5" s="1660" t="s">
        <v>197</v>
      </c>
      <c r="DC5" s="1660" t="s">
        <v>198</v>
      </c>
      <c r="DD5" s="1660" t="s">
        <v>199</v>
      </c>
      <c r="DE5" s="1670" t="s">
        <v>170</v>
      </c>
      <c r="DF5" s="1670" t="s">
        <v>409</v>
      </c>
      <c r="DG5" s="1663" t="s">
        <v>446</v>
      </c>
      <c r="DH5" s="1648" t="s">
        <v>427</v>
      </c>
      <c r="DI5" s="1648" t="s">
        <v>428</v>
      </c>
      <c r="DJ5" s="1648" t="s">
        <v>444</v>
      </c>
      <c r="DK5" s="1648" t="s">
        <v>478</v>
      </c>
      <c r="DL5" s="1648" t="s">
        <v>482</v>
      </c>
      <c r="DM5" s="1740" t="s">
        <v>523</v>
      </c>
      <c r="DN5" s="1740" t="s">
        <v>524</v>
      </c>
      <c r="DO5" s="1740" t="s">
        <v>525</v>
      </c>
      <c r="DP5" s="1740" t="s">
        <v>526</v>
      </c>
      <c r="DQ5" s="1740" t="s">
        <v>527</v>
      </c>
      <c r="DR5" s="1740" t="s">
        <v>528</v>
      </c>
      <c r="DS5" s="1740" t="s">
        <v>529</v>
      </c>
      <c r="DT5" s="1740" t="s">
        <v>530</v>
      </c>
      <c r="DU5" s="1741" t="s">
        <v>531</v>
      </c>
      <c r="DV5" s="1741" t="s">
        <v>532</v>
      </c>
      <c r="DW5" s="1750" t="s">
        <v>533</v>
      </c>
      <c r="DX5" s="1740" t="s">
        <v>534</v>
      </c>
      <c r="DY5" s="1747" t="s">
        <v>535</v>
      </c>
      <c r="DZ5" s="1750" t="s">
        <v>536</v>
      </c>
      <c r="EA5" s="1747" t="s">
        <v>537</v>
      </c>
      <c r="EB5" s="1744" t="s">
        <v>581</v>
      </c>
      <c r="EC5" s="1744" t="s">
        <v>582</v>
      </c>
      <c r="ED5" s="1744" t="s">
        <v>583</v>
      </c>
      <c r="EE5" s="1744" t="s">
        <v>616</v>
      </c>
      <c r="EF5" s="1744" t="s">
        <v>620</v>
      </c>
      <c r="EG5" s="1747" t="s">
        <v>618</v>
      </c>
      <c r="EH5" s="1747" t="s">
        <v>619</v>
      </c>
      <c r="EI5" s="1747" t="s">
        <v>585</v>
      </c>
      <c r="EJ5" s="1747" t="s">
        <v>586</v>
      </c>
      <c r="EK5" s="1756" t="s">
        <v>663</v>
      </c>
      <c r="EL5" s="1759" t="s">
        <v>679</v>
      </c>
      <c r="EM5" s="1760"/>
      <c r="EN5" s="1761"/>
      <c r="EO5" s="1660" t="s">
        <v>731</v>
      </c>
      <c r="EP5" s="1660" t="s">
        <v>733</v>
      </c>
      <c r="EQ5" s="1660" t="s">
        <v>734</v>
      </c>
      <c r="ER5" s="1660" t="s">
        <v>742</v>
      </c>
      <c r="ES5" s="1660" t="s">
        <v>744</v>
      </c>
      <c r="ET5" s="1753" t="s">
        <v>779</v>
      </c>
      <c r="EU5" s="1753" t="s">
        <v>780</v>
      </c>
      <c r="EV5" s="1657" t="s">
        <v>795</v>
      </c>
      <c r="EW5" s="1657" t="s">
        <v>800</v>
      </c>
      <c r="EX5" s="1654" t="s">
        <v>812</v>
      </c>
      <c r="EY5" s="1642" t="s">
        <v>817</v>
      </c>
      <c r="EZ5" s="1639" t="s">
        <v>861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163</v>
      </c>
      <c r="BO6" s="1580" t="s">
        <v>164</v>
      </c>
      <c r="BP6" s="1580" t="s">
        <v>163</v>
      </c>
      <c r="BQ6" s="1580" t="s">
        <v>164</v>
      </c>
      <c r="BR6" s="1580" t="s">
        <v>163</v>
      </c>
      <c r="BS6" s="1580" t="s">
        <v>164</v>
      </c>
      <c r="BT6" s="1580" t="s">
        <v>163</v>
      </c>
      <c r="BU6" s="1580" t="s">
        <v>164</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730</v>
      </c>
      <c r="B7" s="1694"/>
      <c r="C7" s="1697"/>
      <c r="D7" s="66" t="s">
        <v>402</v>
      </c>
      <c r="E7" s="67" t="s">
        <v>128</v>
      </c>
      <c r="F7" s="67" t="s">
        <v>127</v>
      </c>
      <c r="G7" s="121" t="s">
        <v>35</v>
      </c>
      <c r="H7" s="122" t="s">
        <v>403</v>
      </c>
      <c r="I7" s="9" t="s">
        <v>18</v>
      </c>
      <c r="J7" s="10" t="s">
        <v>13</v>
      </c>
      <c r="K7" s="10" t="s">
        <v>9</v>
      </c>
      <c r="L7" s="11" t="s">
        <v>19</v>
      </c>
      <c r="M7" s="9" t="s">
        <v>7</v>
      </c>
      <c r="N7" s="10" t="s">
        <v>8</v>
      </c>
      <c r="O7" s="158" t="s">
        <v>225</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680</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404</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455</v>
      </c>
      <c r="DI8" s="50" t="s">
        <v>456</v>
      </c>
      <c r="DJ8" s="469" t="s">
        <v>457</v>
      </c>
      <c r="DK8" s="469" t="s">
        <v>479</v>
      </c>
      <c r="DL8" s="469" t="s">
        <v>480</v>
      </c>
      <c r="DM8" s="469" t="s">
        <v>538</v>
      </c>
      <c r="DN8" s="469" t="s">
        <v>539</v>
      </c>
      <c r="DO8" s="469" t="s">
        <v>540</v>
      </c>
      <c r="DP8" s="469" t="s">
        <v>541</v>
      </c>
      <c r="DQ8" s="469" t="s">
        <v>542</v>
      </c>
      <c r="DR8" s="469" t="s">
        <v>543</v>
      </c>
      <c r="DS8" s="469" t="s">
        <v>544</v>
      </c>
      <c r="DT8" s="469" t="s">
        <v>545</v>
      </c>
      <c r="DU8" s="473" t="s">
        <v>546</v>
      </c>
      <c r="DV8" s="469" t="s">
        <v>547</v>
      </c>
      <c r="DW8" s="469" t="s">
        <v>548</v>
      </c>
      <c r="DX8" s="469" t="s">
        <v>549</v>
      </c>
      <c r="DY8" s="469" t="s">
        <v>550</v>
      </c>
      <c r="DZ8" s="469" t="s">
        <v>551</v>
      </c>
      <c r="EA8" s="469" t="s">
        <v>552</v>
      </c>
      <c r="EB8" s="469" t="s">
        <v>593</v>
      </c>
      <c r="EC8" s="469" t="s">
        <v>594</v>
      </c>
      <c r="ED8" s="469" t="s">
        <v>595</v>
      </c>
      <c r="EE8" s="469" t="s">
        <v>596</v>
      </c>
      <c r="EF8" s="469" t="s">
        <v>597</v>
      </c>
      <c r="EG8" s="469" t="s">
        <v>598</v>
      </c>
      <c r="EH8" s="469" t="s">
        <v>599</v>
      </c>
      <c r="EI8" s="469" t="s">
        <v>600</v>
      </c>
      <c r="EJ8" s="469" t="s">
        <v>601</v>
      </c>
      <c r="EK8" s="469" t="s">
        <v>664</v>
      </c>
      <c r="EL8" s="639" t="s">
        <v>681</v>
      </c>
      <c r="EM8" s="639" t="s">
        <v>682</v>
      </c>
      <c r="EN8" s="639" t="s">
        <v>683</v>
      </c>
      <c r="EO8" s="50" t="s">
        <v>732</v>
      </c>
      <c r="EP8" s="50" t="s">
        <v>737</v>
      </c>
      <c r="EQ8" s="50" t="s">
        <v>738</v>
      </c>
      <c r="ER8" s="50" t="s">
        <v>743</v>
      </c>
      <c r="ES8" s="469" t="s">
        <v>745</v>
      </c>
      <c r="ET8" s="1136" t="s">
        <v>781</v>
      </c>
      <c r="EU8" s="1136" t="s">
        <v>782</v>
      </c>
      <c r="EV8" s="151" t="s">
        <v>789</v>
      </c>
      <c r="EW8" s="151">
        <v>153</v>
      </c>
      <c r="EX8" s="469" t="s">
        <v>811</v>
      </c>
      <c r="EY8" s="469" t="s">
        <v>816</v>
      </c>
      <c r="EZ8" s="469" t="s">
        <v>860</v>
      </c>
    </row>
    <row r="9" spans="1:156" ht="14.25" customHeight="1">
      <c r="A9" s="20" t="s">
        <v>45</v>
      </c>
      <c r="B9" s="21" t="s">
        <v>404</v>
      </c>
      <c r="C9" s="22" t="s">
        <v>3</v>
      </c>
      <c r="D9" s="23" t="s">
        <v>20</v>
      </c>
      <c r="E9" s="21" t="s">
        <v>21</v>
      </c>
      <c r="F9" s="21">
        <v>32</v>
      </c>
      <c r="G9" s="6"/>
      <c r="H9" s="136" t="s">
        <v>247</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404</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405</v>
      </c>
      <c r="B11" s="21" t="s">
        <v>404</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406</v>
      </c>
      <c r="B12" s="21" t="s">
        <v>404</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404</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404</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407</v>
      </c>
      <c r="B15" s="21" t="s">
        <v>404</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407</v>
      </c>
      <c r="B16" s="21" t="s">
        <v>404</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406</v>
      </c>
      <c r="B17" s="21" t="s">
        <v>404</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404</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404</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6prJUPqfOJeIL+paRclqfHCOGrvRfz2r5/NpqAMLp3bfgVWrxa1icoB7m8ON0wqXx4AK79zkMhlJLWxUk0IZg==" saltValue="/1i6TOvLCJLkTmV39Qr2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LOGROSAN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353</v>
      </c>
      <c r="B5" s="1441"/>
      <c r="C5" s="1542" t="str">
        <f>"Año:  " &amp;Criterios!B$5 &amp; "          Trimestre   " &amp;Criterios!D$5 &amp; " al " &amp;Criterios!D$6</f>
        <v>Año:  2026          Trimestre   1 al 1</v>
      </c>
      <c r="D5" s="1774" t="s">
        <v>378</v>
      </c>
      <c r="E5" s="1774" t="s">
        <v>553</v>
      </c>
      <c r="F5" s="1809" t="s">
        <v>408</v>
      </c>
      <c r="G5" s="1774" t="s">
        <v>130</v>
      </c>
      <c r="H5" s="1774" t="s">
        <v>583</v>
      </c>
      <c r="I5" s="1774" t="s">
        <v>554</v>
      </c>
      <c r="J5" s="1774" t="s">
        <v>657</v>
      </c>
      <c r="K5" s="1774" t="s">
        <v>555</v>
      </c>
      <c r="L5" s="1774" t="s">
        <v>523</v>
      </c>
      <c r="M5" s="1804" t="s">
        <v>581</v>
      </c>
      <c r="N5" s="1774" t="s">
        <v>712</v>
      </c>
      <c r="O5" s="1774" t="s">
        <v>672</v>
      </c>
      <c r="P5" s="1774" t="s">
        <v>170</v>
      </c>
      <c r="Q5" s="1792" t="s">
        <v>669</v>
      </c>
      <c r="R5" s="1792" t="s">
        <v>713</v>
      </c>
      <c r="S5" s="1774" t="s">
        <v>584</v>
      </c>
      <c r="T5" s="1792" t="s">
        <v>556</v>
      </c>
      <c r="U5" s="1792" t="s">
        <v>755</v>
      </c>
      <c r="V5" s="1792" t="s">
        <v>756</v>
      </c>
      <c r="W5" s="1798" t="s">
        <v>606</v>
      </c>
      <c r="X5" s="1801" t="s">
        <v>557</v>
      </c>
      <c r="Y5" s="1798" t="s">
        <v>558</v>
      </c>
      <c r="Z5" s="1798" t="s">
        <v>559</v>
      </c>
      <c r="AA5" s="1774" t="s">
        <v>673</v>
      </c>
      <c r="AB5" s="1774" t="s">
        <v>678</v>
      </c>
      <c r="AC5" s="1774" t="s">
        <v>184</v>
      </c>
      <c r="AD5" s="1780" t="s">
        <v>182</v>
      </c>
      <c r="AE5" s="1774" t="s">
        <v>674</v>
      </c>
      <c r="AF5" s="1783" t="s">
        <v>675</v>
      </c>
      <c r="AG5" s="1777" t="s">
        <v>532</v>
      </c>
      <c r="AH5" s="1774" t="s">
        <v>533</v>
      </c>
      <c r="AI5" s="1774" t="s">
        <v>604</v>
      </c>
      <c r="AJ5" s="1786" t="s">
        <v>605</v>
      </c>
      <c r="AK5" s="1777" t="s">
        <v>185</v>
      </c>
      <c r="AL5" s="1774" t="s">
        <v>563</v>
      </c>
      <c r="AM5" s="1774" t="s">
        <v>249</v>
      </c>
      <c r="AN5" s="1774" t="s">
        <v>250</v>
      </c>
      <c r="AO5" s="1774" t="s">
        <v>251</v>
      </c>
      <c r="AP5" s="1774" t="s">
        <v>564</v>
      </c>
      <c r="AQ5" s="1774" t="s">
        <v>252</v>
      </c>
      <c r="AR5" s="1774" t="s">
        <v>565</v>
      </c>
      <c r="AS5" s="1774" t="s">
        <v>566</v>
      </c>
      <c r="AT5" s="1774" t="s">
        <v>567</v>
      </c>
      <c r="AU5" s="1774" t="s">
        <v>592</v>
      </c>
      <c r="AV5" s="1774" t="s">
        <v>585</v>
      </c>
      <c r="AW5" s="1774" t="s">
        <v>796</v>
      </c>
      <c r="AX5" s="1774" t="s">
        <v>799</v>
      </c>
      <c r="AY5" s="1774" t="s">
        <v>801</v>
      </c>
      <c r="AZ5" s="1774" t="s">
        <v>586</v>
      </c>
      <c r="BA5" s="1774" t="s">
        <v>817</v>
      </c>
      <c r="BB5" s="1774" t="s">
        <v>568</v>
      </c>
      <c r="BC5" s="1774" t="s">
        <v>531</v>
      </c>
      <c r="BW5" s="1774" t="s">
        <v>757</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248</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248</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248</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248</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398</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398</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398</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398</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266</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267</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426</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264</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265</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H2CG32gNU+5RxRSO0c2ir3vfiwoC/gdbqnhXP/9F869TnXScxQjX6399yDY5cSUvMX5+jpYMkOmOZempXYmFA==" saltValue="Enhf/jYfqTHfpi9hrH/S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775</v>
      </c>
    </row>
    <row r="3" spans="2:5" ht="16.5" customHeight="1" thickBot="1">
      <c r="B3" s="1135" t="s">
        <v>776</v>
      </c>
      <c r="C3" s="1135" t="s">
        <v>777</v>
      </c>
      <c r="D3" s="1135" t="s">
        <v>778</v>
      </c>
      <c r="E3" s="1143" t="s">
        <v>783</v>
      </c>
    </row>
  </sheetData>
  <sheetProtection algorithmName="SHA-512" hashValue="0sjP1sSaPZvcoZKXpamTVvDQeeh/xfyYbVaV9f/7E20iSzJ509IFegkpV/ZPL1s9vKGqyQKF2hHSG3I7oEx3dg==" saltValue="NUMqgRxIu4BIL5up5FXr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LOGROSAN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736</v>
      </c>
      <c r="L5" s="1470" t="s">
        <v>759</v>
      </c>
      <c r="M5" s="1470" t="s">
        <v>813</v>
      </c>
      <c r="N5" s="1473" t="s">
        <v>735</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730</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0</v>
      </c>
      <c r="C10" s="402" t="str">
        <f>IF(ISNUMBER(Datos!I10),Datos!I10," - ")</f>
        <v xml:space="preserve"> - </v>
      </c>
      <c r="D10" s="403" t="str">
        <f>IF(ISNUMBER(C10/Datos!BH10),C10/Datos!BH10," - ")</f>
        <v xml:space="preserve"> - </v>
      </c>
      <c r="E10" s="402" t="str">
        <f>IF(ISNUMBER(Datos!J10),Datos!J10," - ")</f>
        <v xml:space="preserve"> - </v>
      </c>
      <c r="F10" s="403" t="str">
        <f>IF(ISNUMBER(E10/B10),E10/B10," - ")</f>
        <v xml:space="preserve"> - </v>
      </c>
      <c r="G10" s="402" t="str">
        <f>IF(ISNUMBER(Datos!K10),Datos!K10," - ")</f>
        <v xml:space="preserve"> - </v>
      </c>
      <c r="H10" s="403" t="str">
        <f>IF(ISNUMBER(G10/B10),G10/B10," - ")</f>
        <v xml:space="preserve"> - </v>
      </c>
      <c r="I10" s="402" t="str">
        <f>IF(ISNUMBER(Datos!L10),Datos!L10," - ")</f>
        <v xml:space="preserve"> - </v>
      </c>
      <c r="J10" s="403" t="str">
        <f>IF(ISNUMBER(I10/B10),I10/B10," - ")</f>
        <v xml:space="preserve"> - </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244</v>
      </c>
      <c r="D12" s="403">
        <f>IF(ISNUMBER(C12/Datos!BH12),C12/Datos!BH12," - ")</f>
        <v>244</v>
      </c>
      <c r="E12" s="402">
        <f>IF(ISNUMBER(IF(J_V="SI",Datos!J12,Datos!J12+Datos!Z12)),IF(J_V="SI",Datos!J12,Datos!J12+Datos!Z12)," - ")</f>
        <v>105</v>
      </c>
      <c r="F12" s="403">
        <f>IF(ISNUMBER(E12/B12),E12/B12," - ")</f>
        <v>105</v>
      </c>
      <c r="G12" s="402">
        <f>IF(ISNUMBER(IF(J_V="SI",Datos!K12,Datos!K12+Datos!AA12)),IF(J_V="SI",Datos!K12,Datos!K12+Datos!AA12)," - ")</f>
        <v>78</v>
      </c>
      <c r="H12" s="403">
        <f>IF(ISNUMBER(G12/B12),G12/B12," - ")</f>
        <v>78</v>
      </c>
      <c r="I12" s="402">
        <f>IF(ISNUMBER(IF(J_V="SI",Datos!L12,Datos!L12+Datos!AB12)),IF(J_V="SI",Datos!L12,Datos!L12+Datos!AB12)," - ")</f>
        <v>271</v>
      </c>
      <c r="J12" s="403">
        <f>IF(ISNUMBER(I12/B12),I12/B12," - ")</f>
        <v>271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244</v>
      </c>
      <c r="D13" s="847" t="str">
        <f>IF(ISNUMBER(C13/Datos!BI13),C13/Datos!BI13," - ")</f>
        <v xml:space="preserve"> - </v>
      </c>
      <c r="E13" s="846">
        <f>SUBTOTAL(9,E8:E12)</f>
        <v>105</v>
      </c>
      <c r="F13" s="847">
        <f>IF(ISNUMBER(E13/B13),E13/B13," - ")</f>
        <v>105</v>
      </c>
      <c r="G13" s="846">
        <f>SUBTOTAL(9,G8:G12)</f>
        <v>78</v>
      </c>
      <c r="H13" s="847">
        <f>IF(ISNUMBER(G13/B13),G13/B13," - ")</f>
        <v>78</v>
      </c>
      <c r="I13" s="846">
        <f>SUBTOTAL(9,I8:I12)</f>
        <v>271</v>
      </c>
      <c r="J13" s="847">
        <f>IF(ISNUMBER(I13/B13),I13/B13," - ")</f>
        <v>271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117</v>
      </c>
      <c r="D17" s="403">
        <f>IF(ISNUMBER(C17/Datos!BH17),C17/Datos!BH17," - ")</f>
        <v>117</v>
      </c>
      <c r="E17" s="402">
        <f>IF(ISNUMBER(IF(D_I="SI",Datos!J17,Datos!J17+Datos!AD17)),IF(D_I="SI",Datos!J17,Datos!J17+Datos!AD17)," - ")</f>
        <v>119</v>
      </c>
      <c r="F17" s="403">
        <f>IF(ISNUMBER(E17/B17),E17/B17," - ")</f>
        <v>119</v>
      </c>
      <c r="G17" s="402">
        <f>IF(ISNUMBER(IF(D_I="SI",Datos!K17,Datos!K17+Datos!AE17)),IF(D_I="SI",Datos!K17,Datos!K17+Datos!AE17)," - ")</f>
        <v>118</v>
      </c>
      <c r="H17" s="403">
        <f>IF(ISNUMBER(G17/B17),G17/B17," - ")</f>
        <v>118</v>
      </c>
      <c r="I17" s="402">
        <f>IF(ISNUMBER(IF(D_I="SI",Datos!L17,Datos!L17+Datos!AF17)),IF(D_I="SI",Datos!L17,Datos!L17+Datos!AF17)," - ")</f>
        <v>118</v>
      </c>
      <c r="J17" s="403">
        <f>IF(ISNUMBER(I17/B17),I17/B17," - ")</f>
        <v>118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0</v>
      </c>
      <c r="C18" s="402" t="str">
        <f>IF(ISNUMBER(IF(D_I="SI",Datos!I18,Datos!I18+Datos!AC18)),IF(D_I="SI",Datos!I18,Datos!I18+Datos!AC18)," - ")</f>
        <v xml:space="preserve"> - </v>
      </c>
      <c r="D18" s="403" t="str">
        <f>IF(ISNUMBER(C18/Datos!BH18),C18/Datos!BH18," - ")</f>
        <v xml:space="preserve"> - </v>
      </c>
      <c r="E18" s="402" t="str">
        <f>IF(ISNUMBER(IF(D_I="SI",Datos!J18,Datos!J18+Datos!AD18)),IF(D_I="SI",Datos!J18,Datos!J18+Datos!AD18)," - ")</f>
        <v xml:space="preserve"> - </v>
      </c>
      <c r="F18" s="403" t="str">
        <f>IF(ISNUMBER(E18/B18),E18/B18," - ")</f>
        <v xml:space="preserve"> - </v>
      </c>
      <c r="G18" s="402" t="str">
        <f>IF(ISNUMBER(IF(D_I="SI",Datos!K18,Datos!K18+Datos!AE18)),IF(D_I="SI",Datos!K18,Datos!K18+Datos!AE18)," - ")</f>
        <v xml:space="preserve"> - </v>
      </c>
      <c r="H18" s="403" t="str">
        <f>IF(ISNUMBER(G18/B18),G18/B18," - ")</f>
        <v xml:space="preserve"> - </v>
      </c>
      <c r="I18" s="402" t="str">
        <f>IF(ISNUMBER(IF(D_I="SI",Datos!L18,Datos!L18+Datos!AF18)),IF(D_I="SI",Datos!L18,Datos!L18+Datos!AF18)," - ")</f>
        <v xml:space="preserve"> - </v>
      </c>
      <c r="J18" s="403" t="str">
        <f>IF(ISNUMBER(I18/B18),I18/B18," - ")</f>
        <v xml:space="preserve"> - </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117</v>
      </c>
      <c r="D19" s="847" t="str">
        <f>IF(ISNUMBER(C19/Datos!BI19),C19/Datos!BI19," - ")</f>
        <v xml:space="preserve"> - </v>
      </c>
      <c r="E19" s="846">
        <f>SUBTOTAL(9,E14:E18)</f>
        <v>119</v>
      </c>
      <c r="F19" s="847">
        <f>IF(ISNUMBER(E19/B19),E19/B19," - ")</f>
        <v>119</v>
      </c>
      <c r="G19" s="846">
        <f>SUBTOTAL(9,G14:G18)</f>
        <v>118</v>
      </c>
      <c r="H19" s="847">
        <f>IF(ISNUMBER(G19/B19),G19/B19," - ")</f>
        <v>118</v>
      </c>
      <c r="I19" s="846">
        <f>SUBTOTAL(9,I14:I18)</f>
        <v>118</v>
      </c>
      <c r="J19" s="847">
        <f>IF(ISNUMBER(I19/B19),I19/B19," - ")</f>
        <v>118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361</v>
      </c>
      <c r="D20" s="792" t="str">
        <f>IF(ISNUMBER(C20/Datos!BI20),C20/Datos!BI20," - ")</f>
        <v xml:space="preserve"> - </v>
      </c>
      <c r="E20" s="791">
        <f>SUBTOTAL(9,E9:E19)</f>
        <v>224</v>
      </c>
      <c r="F20" s="792">
        <f>IF(ISNUMBER(E20/B20),E20/B20," - ")</f>
        <v>224</v>
      </c>
      <c r="G20" s="791">
        <f>SUBTOTAL(9,G9:G19)</f>
        <v>196</v>
      </c>
      <c r="H20" s="792">
        <f>IF(ISNUMBER(G20/B20),G20/B20," - ")</f>
        <v>196</v>
      </c>
      <c r="I20" s="791">
        <f>SUBTOTAL(9,I9:I19)</f>
        <v>389</v>
      </c>
      <c r="J20" s="792">
        <f>IF(ISNUMBER(I20/B20),I20/B20," - ")</f>
        <v>389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J1IP+M7c6WpT4Qd6EZo0PVHAWCQvwuXtUZmZoWZ752mwb+6EWvh6HpXX+IkvN/owkcelzKp9wNzByAYyEo2Qg==" saltValue="3Esex4akynjtKLE/HMAl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LOGROSAN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353</v>
      </c>
      <c r="B5" s="271"/>
      <c r="C5" s="1542" t="str">
        <f>"Año:  " &amp;Criterios!B$5 &amp; "          Trimestre   " &amp;Criterios!D$5 &amp; " al " &amp;Criterios!D$6</f>
        <v>Año:  2026          Trimestre   1 al 1</v>
      </c>
      <c r="D5" s="1774" t="s">
        <v>426</v>
      </c>
      <c r="E5" s="1774" t="s">
        <v>553</v>
      </c>
      <c r="F5" s="1809" t="s">
        <v>408</v>
      </c>
      <c r="G5" s="1774" t="s">
        <v>130</v>
      </c>
      <c r="H5" s="1774" t="s">
        <v>686</v>
      </c>
      <c r="I5" s="1774" t="s">
        <v>687</v>
      </c>
      <c r="J5" s="1774" t="s">
        <v>690</v>
      </c>
      <c r="K5" s="1774" t="s">
        <v>691</v>
      </c>
      <c r="L5" s="1774" t="s">
        <v>581</v>
      </c>
      <c r="M5" s="1774" t="s">
        <v>712</v>
      </c>
      <c r="N5" s="1774" t="s">
        <v>692</v>
      </c>
      <c r="O5" s="1774" t="s">
        <v>688</v>
      </c>
      <c r="P5" s="1774" t="s">
        <v>170</v>
      </c>
      <c r="Q5" s="1774" t="s">
        <v>669</v>
      </c>
      <c r="R5" s="1774" t="s">
        <v>713</v>
      </c>
      <c r="S5" s="1774" t="str">
        <f>"Ingreso Computable 2003" &amp; IF(OR(EXACT(LEFT(boletin,2),"04"),EXACT(LEFT(boletin,2),"14"),EXACT(LEFT(boletin,2),"17"))," (Civil + Penal)","")</f>
        <v>Ingreso Computable 2003</v>
      </c>
      <c r="T5" s="1774" t="s">
        <v>689</v>
      </c>
      <c r="U5" s="1792" t="str">
        <f>"% Ingreso Computable 2003" &amp; IF(OR(EXACT(LEFT(boletin,2),"04"),EXACT(LEFT(boletin,2),"14"),EXACT(LEFT(boletin,2),"17"))," (Civil + Penal)","")</f>
        <v>% Ingreso Computable 2003</v>
      </c>
      <c r="V5" s="1792" t="s">
        <v>693</v>
      </c>
      <c r="W5" s="1774" t="s">
        <v>749</v>
      </c>
      <c r="X5" s="1774" t="s">
        <v>750</v>
      </c>
      <c r="Y5" s="1795" t="s">
        <v>660</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694</v>
      </c>
      <c r="AC5" s="1828" t="s">
        <v>695</v>
      </c>
      <c r="AD5" s="1828" t="s">
        <v>696</v>
      </c>
      <c r="AE5" s="1828" t="s">
        <v>697</v>
      </c>
      <c r="AF5" s="1774" t="s">
        <v>698</v>
      </c>
      <c r="AG5" s="1774" t="s">
        <v>699</v>
      </c>
      <c r="AH5" s="1774" t="s">
        <v>700</v>
      </c>
      <c r="AI5" s="1774" t="s">
        <v>701</v>
      </c>
      <c r="AJ5" s="1774" t="s">
        <v>184</v>
      </c>
      <c r="AK5" s="1777" t="s">
        <v>532</v>
      </c>
      <c r="AL5" s="1777" t="s">
        <v>185</v>
      </c>
      <c r="AM5" s="1774" t="s">
        <v>563</v>
      </c>
      <c r="AN5" s="1774" t="s">
        <v>249</v>
      </c>
      <c r="AO5" s="1774" t="s">
        <v>250</v>
      </c>
      <c r="AP5" s="1774" t="s">
        <v>702</v>
      </c>
      <c r="AQ5" s="1774" t="s">
        <v>703</v>
      </c>
      <c r="AR5" s="1774" t="s">
        <v>704</v>
      </c>
      <c r="AS5" s="1774" t="s">
        <v>705</v>
      </c>
      <c r="AT5" s="1774" t="s">
        <v>706</v>
      </c>
      <c r="AU5" s="1774" t="s">
        <v>707</v>
      </c>
      <c r="AV5" s="1774" t="s">
        <v>708</v>
      </c>
      <c r="AW5" s="1774" t="s">
        <v>709</v>
      </c>
      <c r="AX5" s="1774" t="s">
        <v>796</v>
      </c>
      <c r="AY5" s="1774" t="s">
        <v>799</v>
      </c>
      <c r="AZ5" s="1774" t="s">
        <v>710</v>
      </c>
      <c r="BA5" s="1774" t="s">
        <v>711</v>
      </c>
      <c r="BB5" s="1774" t="s">
        <v>531</v>
      </c>
      <c r="BC5" s="1604" t="s">
        <v>718</v>
      </c>
      <c r="BD5" s="1604" t="s">
        <v>719</v>
      </c>
      <c r="BE5" s="1809" t="s">
        <v>720</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248</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0</v>
      </c>
      <c r="B10" s="506" t="s">
        <v>248</v>
      </c>
      <c r="C10" s="7" t="str">
        <f>Datos!A10</f>
        <v>Sección De Violencia sobre la Mujer del TI</v>
      </c>
      <c r="D10" s="507"/>
      <c r="E10" s="679">
        <f>IF(ISNUMBER(Datos!AQ10),Datos!AQ10," - ")</f>
        <v>0</v>
      </c>
      <c r="F10" s="680" t="str">
        <f>IF(ISNUMBER(Datos!L10+Datos!K10-Datos!J10),Datos!L10+Datos!K10-Datos!J10," - ")</f>
        <v xml:space="preserve"> - </v>
      </c>
      <c r="G10" s="681" t="str">
        <f>IF(ISNUMBER(Datos!I10),Datos!I10," - ")</f>
        <v xml:space="preserve"> - </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t="str">
        <f>IF(ISNUMBER(Datos!K10),Datos!K10," - ")</f>
        <v xml:space="preserve"> - </v>
      </c>
      <c r="AC10" s="680" t="str">
        <f>IF(ISNUMBER(IF(D_I="SI",DatosP!K18,DatosP!K18+DatosP!AE18)),IF(D_I="SI",DatosP!K18,DatosP!K18+DatosP!AE18)," - ")</f>
        <v xml:space="preserve"> - </v>
      </c>
      <c r="AD10" s="682"/>
      <c r="AE10" s="682"/>
      <c r="AF10" s="685" t="str">
        <f>IF(ISNUMBER(Datos!L10),Datos!L10,"-")</f>
        <v>-</v>
      </c>
      <c r="AG10" s="685" t="str">
        <f>IF(ISNUMBER(DatosP!L18),DatosP!L18,"-")</f>
        <v>-</v>
      </c>
      <c r="AH10" s="686"/>
      <c r="AI10" s="686"/>
      <c r="AJ10" s="679">
        <f>IF(ISNUMBER(Datos!BV10+DatosP!BV18),Datos!BV10+DatosP!BV18," - ")</f>
        <v>0</v>
      </c>
      <c r="AK10" s="669">
        <f>IF(ISNUMBER(Datos!DV10+DatosP!DV18),Datos!DV10+DatosP!DV18," - ")</f>
        <v>0</v>
      </c>
      <c r="AL10" s="680" t="str">
        <f>IF(ISNUMBER(Datos!M10+DatosP!M18),Datos!M10+DatosP!M18," - ")</f>
        <v xml:space="preserve"> - </v>
      </c>
      <c r="AM10" s="687" t="str">
        <f>IF(ISNUMBER(Datos!N10+DatosP!N18),Datos!N10+DatosP!N18," - ")</f>
        <v xml:space="preserve"> - </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248</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248</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388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v>
      </c>
      <c r="AM12" s="687">
        <f>IF(ISNUMBER(Datos!N12+DatosP!N17),Datos!N12+DatosP!N17," - ")</f>
        <v>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10.423076923076923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-1.5228426395939087E-2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37</v>
      </c>
      <c r="AE13" s="934">
        <f t="shared" si="1"/>
        <v>0</v>
      </c>
      <c r="AF13" s="934">
        <f t="shared" si="1"/>
        <v>0</v>
      </c>
      <c r="AG13" s="934">
        <f t="shared" si="1"/>
        <v>0</v>
      </c>
      <c r="AH13" s="934">
        <f t="shared" si="1"/>
        <v>388</v>
      </c>
      <c r="AI13" s="934">
        <f t="shared" si="1"/>
        <v>0</v>
      </c>
      <c r="AJ13" s="934">
        <f t="shared" si="1"/>
        <v>0</v>
      </c>
      <c r="AK13" s="934">
        <f t="shared" si="1"/>
        <v>0</v>
      </c>
      <c r="AL13" s="934">
        <f t="shared" si="1"/>
        <v>26</v>
      </c>
      <c r="AM13" s="934">
        <f t="shared" si="1"/>
        <v>21</v>
      </c>
      <c r="AN13" s="934">
        <f t="shared" si="1"/>
        <v>0</v>
      </c>
      <c r="AO13" s="934">
        <f t="shared" si="1"/>
        <v>0</v>
      </c>
      <c r="AP13" s="939">
        <f>IF(ISNUMBER(((Datos!L13/Datos!K13)*11)/factor_trimestre),((Datos!L13/Datos!K13)*11)/factor_trimestre," - ")</f>
        <v>11.095890410958905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-1.5228426395939087E-2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398</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398</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398</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0</v>
      </c>
      <c r="B18" s="506" t="s">
        <v>398</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v>
      </c>
      <c r="AQ19" s="939">
        <f>IF(ISNUMBER(((Datos!M19/Datos!L19)*11)/factor_trimestre),((Datos!M19/Datos!L19)*11)/factor_trimestre," - ")</f>
        <v>0.53389830508474578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-0.21052631578947367</v>
      </c>
      <c r="AW19" s="941">
        <f>IF(ISNUMBER((Datos!Q19-Datos!R19)/(Datos!S19-Datos!Q19+Datos!R19)),(Datos!Q19-Datos!R19)/(Datos!S19-Datos!Q19+Datos!R19)," - ")</f>
        <v>-3.6842105263157891E-2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37</v>
      </c>
      <c r="AE20" s="952">
        <f t="shared" si="5"/>
        <v>0</v>
      </c>
      <c r="AF20" s="953">
        <f t="shared" si="5"/>
        <v>0</v>
      </c>
      <c r="AG20" s="953">
        <f t="shared" si="5"/>
        <v>0</v>
      </c>
      <c r="AH20" s="953">
        <f t="shared" si="5"/>
        <v>388</v>
      </c>
      <c r="AI20" s="953">
        <f t="shared" si="5"/>
        <v>0</v>
      </c>
      <c r="AJ20" s="954">
        <f t="shared" si="5"/>
        <v>0</v>
      </c>
      <c r="AK20" s="954">
        <f t="shared" si="5"/>
        <v>0</v>
      </c>
      <c r="AL20" s="946">
        <f t="shared" si="5"/>
        <v>26</v>
      </c>
      <c r="AM20" s="946">
        <f t="shared" si="5"/>
        <v>21</v>
      </c>
      <c r="AN20" s="946">
        <f t="shared" si="5"/>
        <v>0</v>
      </c>
      <c r="AO20" s="946">
        <f t="shared" si="5"/>
        <v>0</v>
      </c>
      <c r="AP20" s="946">
        <f>IF(ISNUMBER(((Datos!L20/Datos!K20)*11)/factor_trimestre),((Datos!L20/Datos!K20)*11)/factor_trimestre," - ")</f>
        <v>6.0942408376963364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-2.4213075060532687E-2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266</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267</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15.01110699893027</v>
      </c>
      <c r="AM22" s="733"/>
      <c r="AN22" s="733">
        <f>IF(ISNUMBER(STDEV(AN8:AN19)),STDEV(AN8:AN19),"-")</f>
        <v>0</v>
      </c>
      <c r="AO22" s="739">
        <f>IF(ISNUMBER(STDEV(AO8:AO19)),STDEV(AO8:AO19),"-")</f>
        <v>0</v>
      </c>
      <c r="AP22" s="776">
        <f>IF(ISNUMBER(STDEV(AP8:AP19)),STDEV(AP8:AP19),"-")</f>
        <v>4.4925529219967544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426</v>
      </c>
      <c r="AU23" s="749" t="s">
        <v>426</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264</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265</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AJ2vLfDBDODEZ3AnI3mL3XO+bQMdXvEcRzkQWJ6YB2BCTunTWTFl51/dpfw5wC1TCwnPbg7Ai5L/5VsNPxHlw==" saltValue="bRLT+B3IarACDbE65dl5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LOGROSAN</v>
      </c>
      <c r="D2" s="487"/>
      <c r="E2" s="488"/>
      <c r="F2" s="488"/>
      <c r="G2" s="489"/>
      <c r="I2" s="488"/>
      <c r="J2" s="261"/>
      <c r="K2" s="261"/>
      <c r="L2" s="488"/>
      <c r="M2" s="488"/>
      <c r="N2" s="488"/>
      <c r="O2" s="581"/>
      <c r="P2" s="581"/>
      <c r="Q2" s="488"/>
      <c r="U2" s="488"/>
      <c r="V2" s="490"/>
      <c r="Y2" s="602"/>
    </row>
    <row r="3" spans="1:168" ht="30" customHeight="1">
      <c r="C3" s="1456" t="s">
        <v>998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353</v>
      </c>
      <c r="B5" s="271"/>
      <c r="C5" s="1807" t="str">
        <f>"Año:  " &amp;Criterios!B$5 &amp; "          Trimestre   " &amp;Criterios!D$5 &amp; " al " &amp;Criterios!D$6</f>
        <v>Año:  2026          Trimestre   1 al 1</v>
      </c>
      <c r="D5" s="1774" t="s">
        <v>378</v>
      </c>
      <c r="E5" s="1774" t="s">
        <v>553</v>
      </c>
      <c r="F5" s="1809" t="s">
        <v>408</v>
      </c>
      <c r="G5" s="1774" t="s">
        <v>130</v>
      </c>
      <c r="H5" s="1774" t="s">
        <v>583</v>
      </c>
      <c r="I5" s="1848" t="s">
        <v>554</v>
      </c>
      <c r="J5" s="1774" t="s">
        <v>657</v>
      </c>
      <c r="K5" s="1774" t="s">
        <v>658</v>
      </c>
      <c r="L5" s="1774" t="s">
        <v>555</v>
      </c>
      <c r="M5" s="1774" t="s">
        <v>523</v>
      </c>
      <c r="N5" s="1774" t="s">
        <v>659</v>
      </c>
      <c r="O5" s="1804" t="s">
        <v>581</v>
      </c>
      <c r="P5" s="1774" t="s">
        <v>677</v>
      </c>
      <c r="Q5" s="1774" t="s">
        <v>672</v>
      </c>
      <c r="R5" s="1774" t="s">
        <v>170</v>
      </c>
      <c r="S5" s="1792" t="s">
        <v>669</v>
      </c>
      <c r="T5" s="1792" t="s">
        <v>671</v>
      </c>
      <c r="U5" s="1774" t="s">
        <v>584</v>
      </c>
      <c r="V5" s="1792" t="s">
        <v>556</v>
      </c>
      <c r="W5" s="1774" t="s">
        <v>755</v>
      </c>
      <c r="X5" s="1774" t="s">
        <v>756</v>
      </c>
      <c r="Y5" s="1842" t="s">
        <v>660</v>
      </c>
      <c r="Z5" s="1798" t="s">
        <v>606</v>
      </c>
      <c r="AA5" s="1854" t="s">
        <v>557</v>
      </c>
      <c r="AB5" s="1857" t="s">
        <v>558</v>
      </c>
      <c r="AC5" s="1857" t="s">
        <v>559</v>
      </c>
      <c r="AD5" s="1848" t="s">
        <v>661</v>
      </c>
      <c r="AE5" s="1848" t="s">
        <v>999</v>
      </c>
      <c r="AF5" s="1848" t="s">
        <v>673</v>
      </c>
      <c r="AG5" s="1774" t="s">
        <v>524</v>
      </c>
      <c r="AH5" s="1848" t="s">
        <v>662</v>
      </c>
      <c r="AI5" s="1848" t="s">
        <v>181</v>
      </c>
      <c r="AJ5" s="1848" t="s">
        <v>1000</v>
      </c>
      <c r="AK5" s="1774" t="s">
        <v>525</v>
      </c>
      <c r="AL5" s="1774" t="s">
        <v>526</v>
      </c>
      <c r="AM5" s="1848" t="s">
        <v>678</v>
      </c>
      <c r="AN5" s="1774" t="s">
        <v>527</v>
      </c>
      <c r="AO5" s="1774" t="s">
        <v>528</v>
      </c>
      <c r="AP5" s="1774" t="s">
        <v>529</v>
      </c>
      <c r="AQ5" s="1774" t="s">
        <v>530</v>
      </c>
      <c r="AR5" s="1774" t="s">
        <v>663</v>
      </c>
      <c r="AS5" s="1774" t="s">
        <v>184</v>
      </c>
      <c r="AT5" s="1860" t="s">
        <v>182</v>
      </c>
      <c r="AU5" s="1848" t="s">
        <v>674</v>
      </c>
      <c r="AV5" s="1845" t="s">
        <v>675</v>
      </c>
      <c r="AW5" s="1777" t="s">
        <v>532</v>
      </c>
      <c r="AX5" s="1848" t="s">
        <v>533</v>
      </c>
      <c r="AY5" s="1848" t="s">
        <v>604</v>
      </c>
      <c r="AZ5" s="1851" t="s">
        <v>605</v>
      </c>
      <c r="BA5" s="1774" t="s">
        <v>561</v>
      </c>
      <c r="BB5" s="1783" t="s">
        <v>562</v>
      </c>
      <c r="BC5" s="1777" t="s">
        <v>185</v>
      </c>
      <c r="BD5" s="1774" t="s">
        <v>563</v>
      </c>
      <c r="BE5" s="1848" t="s">
        <v>249</v>
      </c>
      <c r="BF5" s="1848" t="s">
        <v>250</v>
      </c>
      <c r="BG5" s="1774" t="s">
        <v>251</v>
      </c>
      <c r="BH5" s="1848" t="s">
        <v>564</v>
      </c>
      <c r="BI5" s="1774" t="s">
        <v>252</v>
      </c>
      <c r="BJ5" s="1848" t="s">
        <v>565</v>
      </c>
      <c r="BK5" s="1774" t="s">
        <v>579</v>
      </c>
      <c r="BL5" s="1774" t="s">
        <v>566</v>
      </c>
      <c r="BM5" s="1774" t="s">
        <v>567</v>
      </c>
      <c r="BN5" s="1774" t="s">
        <v>592</v>
      </c>
      <c r="BO5" s="1774" t="s">
        <v>585</v>
      </c>
      <c r="BP5" s="1848" t="s">
        <v>796</v>
      </c>
      <c r="BQ5" s="1848" t="s">
        <v>799</v>
      </c>
      <c r="BR5" s="1774" t="s">
        <v>801</v>
      </c>
      <c r="BS5" s="1774" t="s">
        <v>586</v>
      </c>
      <c r="BT5" s="1848" t="s">
        <v>568</v>
      </c>
      <c r="BU5" s="1774" t="s">
        <v>531</v>
      </c>
      <c r="BV5" s="1771" t="s">
        <v>757</v>
      </c>
      <c r="BW5" s="1774" t="s">
        <v>124</v>
      </c>
      <c r="BX5" s="1774" t="s">
        <v>125</v>
      </c>
      <c r="BY5" s="1774" t="s">
        <v>905</v>
      </c>
      <c r="BZ5" s="1774" t="s">
        <v>906</v>
      </c>
      <c r="CA5" s="1774" t="s">
        <v>907</v>
      </c>
      <c r="CB5" s="1839" t="s">
        <v>915</v>
      </c>
      <c r="CC5" s="1839" t="s">
        <v>916</v>
      </c>
      <c r="CD5" s="1839" t="s">
        <v>917</v>
      </c>
      <c r="CE5" s="1774" t="s">
        <v>913</v>
      </c>
      <c r="CF5" s="1774" t="s">
        <v>914</v>
      </c>
      <c r="CG5" s="1774" t="s">
        <v>908</v>
      </c>
      <c r="CH5" s="1839" t="s">
        <v>918</v>
      </c>
      <c r="CI5" s="1839" t="s">
        <v>919</v>
      </c>
      <c r="CJ5" s="1839" t="s">
        <v>920</v>
      </c>
      <c r="CK5" s="1774" t="s">
        <v>921</v>
      </c>
      <c r="CL5" s="1774" t="s">
        <v>922</v>
      </c>
      <c r="CM5" s="1774" t="s">
        <v>923</v>
      </c>
      <c r="CN5" s="1839" t="s">
        <v>924</v>
      </c>
      <c r="CO5" s="1839" t="s">
        <v>925</v>
      </c>
      <c r="CP5" s="1839" t="s">
        <v>926</v>
      </c>
      <c r="CQ5" s="1774" t="s">
        <v>909</v>
      </c>
      <c r="CR5" s="1774" t="s">
        <v>910</v>
      </c>
      <c r="CS5" s="1774" t="s">
        <v>911</v>
      </c>
      <c r="CT5" s="1774" t="s">
        <v>912</v>
      </c>
      <c r="CU5" s="1839" t="s">
        <v>927</v>
      </c>
      <c r="CV5" s="1839" t="s">
        <v>928</v>
      </c>
      <c r="CW5" s="1839" t="s">
        <v>929</v>
      </c>
      <c r="CX5" s="1839" t="s">
        <v>930</v>
      </c>
      <c r="CY5" s="1774" t="s">
        <v>931</v>
      </c>
      <c r="CZ5" s="1774" t="s">
        <v>932</v>
      </c>
      <c r="DA5" s="1774" t="s">
        <v>933</v>
      </c>
      <c r="DB5" s="1774" t="s">
        <v>934</v>
      </c>
      <c r="DC5" s="1839" t="s">
        <v>935</v>
      </c>
      <c r="DD5" s="1839" t="s">
        <v>936</v>
      </c>
      <c r="DE5" s="1839" t="s">
        <v>937</v>
      </c>
      <c r="DF5" s="1839" t="s">
        <v>938</v>
      </c>
      <c r="DG5" s="1774" t="s">
        <v>939</v>
      </c>
      <c r="DH5" s="1774" t="s">
        <v>940</v>
      </c>
      <c r="DI5" s="1774" t="s">
        <v>941</v>
      </c>
      <c r="DJ5" s="1774" t="s">
        <v>942</v>
      </c>
      <c r="DK5" s="1839" t="s">
        <v>943</v>
      </c>
      <c r="DL5" s="1839" t="s">
        <v>944</v>
      </c>
      <c r="DM5" s="1839" t="s">
        <v>945</v>
      </c>
      <c r="DN5" s="1839" t="s">
        <v>946</v>
      </c>
      <c r="DO5" s="1774" t="s">
        <v>947</v>
      </c>
      <c r="DP5" s="1774" t="s">
        <v>948</v>
      </c>
      <c r="DQ5" s="1774" t="s">
        <v>949</v>
      </c>
      <c r="DR5" s="1774" t="s">
        <v>950</v>
      </c>
      <c r="DS5" s="1839" t="s">
        <v>951</v>
      </c>
      <c r="DT5" s="1839" t="s">
        <v>952</v>
      </c>
      <c r="DU5" s="1839" t="s">
        <v>953</v>
      </c>
      <c r="DV5" s="1839" t="s">
        <v>954</v>
      </c>
      <c r="DW5" s="1774" t="s">
        <v>955</v>
      </c>
      <c r="DX5" s="1774" t="s">
        <v>956</v>
      </c>
      <c r="DY5" s="1774" t="s">
        <v>957</v>
      </c>
      <c r="DZ5" s="1774" t="s">
        <v>958</v>
      </c>
      <c r="EA5" s="1839" t="s">
        <v>959</v>
      </c>
      <c r="EB5" s="1839" t="s">
        <v>960</v>
      </c>
      <c r="EC5" s="1839" t="s">
        <v>961</v>
      </c>
      <c r="ED5" s="1839" t="s">
        <v>962</v>
      </c>
      <c r="EE5" s="1774" t="s">
        <v>963</v>
      </c>
      <c r="EF5" s="1774" t="s">
        <v>964</v>
      </c>
      <c r="EG5" s="1774" t="s">
        <v>965</v>
      </c>
      <c r="EH5" s="1774" t="s">
        <v>966</v>
      </c>
      <c r="EI5" s="1839" t="s">
        <v>967</v>
      </c>
      <c r="EJ5" s="1839" t="s">
        <v>968</v>
      </c>
      <c r="EK5" s="1839" t="s">
        <v>969</v>
      </c>
      <c r="EL5" s="1839" t="s">
        <v>970</v>
      </c>
      <c r="EM5" s="1774" t="s">
        <v>971</v>
      </c>
      <c r="EN5" s="1774" t="s">
        <v>972</v>
      </c>
      <c r="EO5" s="1774" t="s">
        <v>973</v>
      </c>
      <c r="EP5" s="1774" t="s">
        <v>974</v>
      </c>
      <c r="EQ5" s="1774" t="s">
        <v>975</v>
      </c>
      <c r="ER5" s="1774" t="s">
        <v>976</v>
      </c>
      <c r="ES5" s="1774" t="s">
        <v>977</v>
      </c>
      <c r="ET5" s="1774" t="s">
        <v>978</v>
      </c>
      <c r="EU5" s="1774" t="s">
        <v>981</v>
      </c>
      <c r="EV5" s="1774" t="s">
        <v>979</v>
      </c>
      <c r="EW5" s="1774" t="s">
        <v>980</v>
      </c>
      <c r="EX5" s="1774" t="s">
        <v>982</v>
      </c>
      <c r="EY5" s="1774" t="s">
        <v>983</v>
      </c>
      <c r="EZ5" s="1774" t="s">
        <v>984</v>
      </c>
      <c r="FA5" s="1774" t="s">
        <v>985</v>
      </c>
      <c r="FB5" s="1774" t="s">
        <v>988</v>
      </c>
      <c r="FC5" s="1774" t="s">
        <v>986</v>
      </c>
      <c r="FD5" s="1774" t="s">
        <v>987</v>
      </c>
      <c r="FE5" s="1774" t="s">
        <v>989</v>
      </c>
      <c r="FF5" s="1774" t="s">
        <v>990</v>
      </c>
      <c r="FG5" s="1774" t="s">
        <v>991</v>
      </c>
      <c r="FH5" s="1774" t="s">
        <v>992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248</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52.765916470546983</v>
      </c>
      <c r="CF9" s="228">
        <f ca="1">AVERAGEIFS($AB:$AB,$BW:$BW,BW9,$BX:$BX,BX9)</f>
        <v>52.765916470546983</v>
      </c>
      <c r="CG9" s="1191">
        <v>0.7</v>
      </c>
      <c r="CH9" s="1191">
        <f ca="1">AVERAGEIF($BW:$BW,$BW9,$AC:$AC)</f>
        <v>16.875</v>
      </c>
      <c r="CI9" s="228">
        <f ca="1">AVERAGEIFS($AC:$AC,$BW:$BW,$BW9,$BX:$BX,$BX9)</f>
        <v>16.875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50.571428571428569</v>
      </c>
      <c r="CR9" s="228">
        <f ca="1">AVERAGEIFS($AF:$AF,$BW:$BW,BW9,$BX:$BX,BX9)</f>
        <v>50.571428571428569</v>
      </c>
      <c r="CS9" s="1191">
        <v>1.3</v>
      </c>
      <c r="CT9" s="1191">
        <v>1.5</v>
      </c>
      <c r="CU9" s="1191">
        <f ca="1">AVERAGEIF($BW:$BW,$BW9,$AH:$AH)</f>
        <v>0.42857142857142855</v>
      </c>
      <c r="CV9" s="228">
        <f ca="1">AVERAGEIFS($AH:$AH,$BW:$BW,$BW9,$BX:$BX,$BX9)</f>
        <v>0.42857142857142855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151.125</v>
      </c>
      <c r="DH9" s="1218">
        <f ca="1">AVERAGEIFS($AM:$AM,$BW:$BW,$BW9,$BX:$BX,$BX9)</f>
        <v>151.125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4.233506746587568</v>
      </c>
      <c r="ER9" s="1218">
        <f ca="1">AVERAGEIFS($BH:$BH,$BW:$BW,$BW9,$BX:$BX,$BX9)</f>
        <v>4.233506746587568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0</v>
      </c>
      <c r="B10" s="506" t="s">
        <v>248</v>
      </c>
      <c r="C10" s="7" t="str">
        <f>Datos!A10</f>
        <v>Sección De Violencia sobre la Mujer del TI</v>
      </c>
      <c r="D10" s="507"/>
      <c r="E10" s="259">
        <f>IF(ISNUMBER(Datos!AQ10),Datos!AQ10," - ")</f>
        <v>0</v>
      </c>
      <c r="F10" s="224" t="str">
        <f>IF(ISNUMBER(Datos!L10+Datos!K10-Datos!J10),Datos!L10+Datos!K10-Datos!J10," - ")</f>
        <v xml:space="preserve"> - </v>
      </c>
      <c r="G10" s="332" t="str">
        <f>IF(ISNUMBER(Datos!I10),Datos!I10," - ")</f>
        <v xml:space="preserve"> - </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t="str">
        <f>IF(ISNUMBER(Datos!K10),Datos!K10," - ")</f>
        <v xml:space="preserve"> - </v>
      </c>
      <c r="AC10" s="224" t="str">
        <f>IF(ISNUMBER(Datos!Q10),Datos!Q10," - ")</f>
        <v xml:space="preserve"> - </v>
      </c>
      <c r="AD10" s="224"/>
      <c r="AE10" s="224"/>
      <c r="AF10" s="224" t="str">
        <f>IF(ISNUMBER(Datos!L10),Datos!L10,"-")</f>
        <v>-</v>
      </c>
      <c r="AG10" s="333"/>
      <c r="AH10" s="224"/>
      <c r="AI10" s="224"/>
      <c r="AJ10" s="1214"/>
      <c r="AK10" s="333"/>
      <c r="AL10" s="478"/>
      <c r="AM10" s="1214" t="str">
        <f>IF(ISNUMBER(Datos!R10),Datos!R10," - ")</f>
        <v xml:space="preserve"> - </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t="str">
        <f>IF(ISNUMBER(Datos!M10),Datos!M10," - ")</f>
        <v xml:space="preserve"> - </v>
      </c>
      <c r="BD10" s="228" t="str">
        <f>IF(ISNUMBER(Datos!N10),Datos!N10," - ")</f>
        <v xml:space="preserve"> - </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52.765916470546983</v>
      </c>
      <c r="CF10" s="228">
        <f ca="1">AVERAGEIFS($AB:$AB,$BW:$BW,BW10,$BX:$BX,BX10)</f>
        <v>52.765916470546983</v>
      </c>
      <c r="CG10" s="1191">
        <v>0.7</v>
      </c>
      <c r="CH10" s="1191">
        <f ca="1">AVERAGEIF($BW:$BW,BW10,$AC:$AC)</f>
        <v>16.875</v>
      </c>
      <c r="CI10" s="228">
        <f ca="1">AVERAGEIFS($AC:$AC,$BW:$BW,BW10,$BX:$BX,BX10)</f>
        <v>16.875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50.571428571428569</v>
      </c>
      <c r="CR10" s="228">
        <f ca="1">AVERAGEIFS($AF:$AF,$BW:$BW,BW10,$BX:$BX,BX10)</f>
        <v>50.571428571428569</v>
      </c>
      <c r="CS10" s="1191">
        <v>1.3</v>
      </c>
      <c r="CT10" s="1191">
        <v>1.5</v>
      </c>
      <c r="CU10" s="1191">
        <f ca="1">AVERAGEIF($BW:$BW,$BW10,$AH:$AH)</f>
        <v>0.42857142857142855</v>
      </c>
      <c r="CV10" s="228">
        <f ca="1">AVERAGEIFS($AH:$AH,$BW:$BW,$BW10,$BX:$BX,$BX10)</f>
        <v>0.42857142857142855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151.125</v>
      </c>
      <c r="DH10" s="1218">
        <f ca="1">AVERAGEIFS($AM:$AM,$BW:$BW,$BW10,$BX:$BX,$BX10)</f>
        <v>151.125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4.233506746587568</v>
      </c>
      <c r="ER10" s="1218">
        <f ca="1">AVERAGEIFS($BH:$BH,$BW:$BW,$BW10,$BX:$BX,$BX10)</f>
        <v>4.233506746587568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248</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52.765916470546983</v>
      </c>
      <c r="CF11" s="228">
        <f ca="1">AVERAGEIFS($AB:$AB,$BW:$BW,BW11,$BX:$BX,BX11)</f>
        <v>52.765916470546983</v>
      </c>
      <c r="CG11" s="1191">
        <v>0.7</v>
      </c>
      <c r="CH11" s="1191">
        <f ca="1">AVERAGEIF($BW:$BW,BW11,$AC:$AC)</f>
        <v>16.875</v>
      </c>
      <c r="CI11" s="228">
        <f ca="1">AVERAGEIFS($AC:$AC,$BW:$BW,BW11,$BX:$BX,BX11)</f>
        <v>16.875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50.571428571428569</v>
      </c>
      <c r="CR11" s="228">
        <f ca="1">AVERAGEIFS($AF:$AF,$BW:$BW,BW11,$BX:$BX,BX11)</f>
        <v>50.571428571428569</v>
      </c>
      <c r="CS11" s="1191">
        <v>1.3</v>
      </c>
      <c r="CT11" s="1191">
        <v>1.5</v>
      </c>
      <c r="CU11" s="1191">
        <f ca="1">AVERAGEIF($BW:$BW,$BW11,$AH:$AH)</f>
        <v>0.42857142857142855</v>
      </c>
      <c r="CV11" s="228">
        <f ca="1">AVERAGEIFS($AH:$AH,$BW:$BW,$BW11,$BX:$BX,$BX11)</f>
        <v>0.42857142857142855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151.125</v>
      </c>
      <c r="DH11" s="1218">
        <f ca="1">AVERAGEIFS($AM:$AM,$BW:$BW,$BW11,$BX:$BX,$BX11)</f>
        <v>151.125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4.233506746587568</v>
      </c>
      <c r="ER11" s="1218">
        <f ca="1">AVERAGEIFS($BH:$BH,$BW:$BW,$BW11,$BX:$BX,$BX11)</f>
        <v>4.233506746587568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248</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v>
      </c>
      <c r="AI12" s="224" t="str">
        <f>IF(ISNUMBER(Datos!CD12),Datos!CD12,"-")</f>
        <v>-</v>
      </c>
      <c r="AJ12" s="1214" t="str">
        <f>IF(ISNUMBER(Datos!EN12),Datos!EN12," - ")</f>
        <v xml:space="preserve"> - </v>
      </c>
      <c r="AK12" s="333"/>
      <c r="AL12" s="478"/>
      <c r="AM12" s="1214">
        <f>IF(ISNUMBER(Datos!R12),Datos!R12," - ")</f>
        <v>388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v>
      </c>
      <c r="BD12" s="228">
        <f>IF(ISNUMBER(Datos!N12),Datos!N12," - ")</f>
        <v>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0.74285714285714288</v>
      </c>
      <c r="BH12" s="1214">
        <f>IF(ISNUMBER(((IF(J_V="SI",Datos!L12/Datos!K12,(Datos!L12+Datos!AB12)/(Datos!K12+Datos!AA12)))*11)/factor_trimestre),((IF(J_V="SI",Datos!L12/Datos!K12,(Datos!L12+Datos!AB12)/(Datos!K12+Datos!AA12)))*11)/factor_trimestre," - ")</f>
        <v>10.423076923076923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-1.5228426395939087E-2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52.765916470546983</v>
      </c>
      <c r="CF12" s="228">
        <f ca="1">AVERAGEIFS($AB:$AB,$BW:$BW,BW12,$BX:$BX,BX12)</f>
        <v>52.765916470546983</v>
      </c>
      <c r="CG12" s="1191">
        <v>0.7</v>
      </c>
      <c r="CH12" s="1191">
        <f ca="1">AVERAGEIF($BW:$BW,BW12,$AC:$AC)</f>
        <v>16.875</v>
      </c>
      <c r="CI12" s="228">
        <f ca="1">AVERAGEIFS($AC:$AC,$BW:$BW,BW12,$BX:$BX,BX12)</f>
        <v>16.875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50.571428571428569</v>
      </c>
      <c r="CR12" s="228">
        <f ca="1">AVERAGEIFS($AF:$AF,$BW:$BW,BW12,$BX:$BX,BX12)</f>
        <v>50.571428571428569</v>
      </c>
      <c r="CS12" s="1191">
        <v>1.3</v>
      </c>
      <c r="CT12" s="1191">
        <v>1.5</v>
      </c>
      <c r="CU12" s="1191">
        <f ca="1">AVERAGEIF($BW:$BW,$BW12,$AH:$AH)</f>
        <v>0.42857142857142855</v>
      </c>
      <c r="CV12" s="228">
        <f ca="1">AVERAGEIFS($AH:$AH,$BW:$BW,$BW12,$BX:$BX,$BX12)</f>
        <v>0.42857142857142855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151.125</v>
      </c>
      <c r="DH12" s="1218">
        <f ca="1">AVERAGEIFS($AM:$AM,$BW:$BW,$BW12,$BX:$BX,$BX12)</f>
        <v>151.125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4.233506746587568</v>
      </c>
      <c r="ER12" s="1218">
        <f ca="1">AVERAGEIFS($BH:$BH,$BW:$BW,$BW12,$BX:$BX,$BX12)</f>
        <v>4.233506746587568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5</v>
      </c>
      <c r="O13" s="897">
        <f t="shared" si="1"/>
        <v>0</v>
      </c>
      <c r="P13" s="897">
        <f t="shared" si="1"/>
        <v>0</v>
      </c>
      <c r="Q13" s="896">
        <f t="shared" si="1"/>
        <v>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37</v>
      </c>
      <c r="AD13" s="896">
        <f t="shared" si="2"/>
        <v>0</v>
      </c>
      <c r="AE13" s="896">
        <f t="shared" si="2"/>
        <v>0</v>
      </c>
      <c r="AF13" s="896">
        <f t="shared" si="2"/>
        <v>0</v>
      </c>
      <c r="AG13" s="896">
        <f t="shared" si="2"/>
        <v>0</v>
      </c>
      <c r="AH13" s="896">
        <f t="shared" si="2"/>
        <v>1</v>
      </c>
      <c r="AI13" s="896">
        <f t="shared" si="2"/>
        <v>0</v>
      </c>
      <c r="AJ13" s="896">
        <f t="shared" si="2"/>
        <v>0</v>
      </c>
      <c r="AK13" s="896">
        <f t="shared" si="2"/>
        <v>0</v>
      </c>
      <c r="AL13" s="896">
        <f t="shared" si="2"/>
        <v>0</v>
      </c>
      <c r="AM13" s="896">
        <f t="shared" si="2"/>
        <v>388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26</v>
      </c>
      <c r="BD13" s="896">
        <f t="shared" si="2"/>
        <v>21</v>
      </c>
      <c r="BE13" s="896">
        <f t="shared" si="2"/>
        <v>0</v>
      </c>
      <c r="BF13" s="896">
        <f t="shared" si="2"/>
        <v>0</v>
      </c>
      <c r="BG13" s="896">
        <f>IF(ISNUMBER(Datos!K13/Datos!J13),Datos!K13/Datos!J13," - ")</f>
        <v>0.73</v>
      </c>
      <c r="BH13" s="900">
        <f>IF(ISNUMBER(((Datos!L13/Datos!K13)*11)/factor_trimestre),((Datos!L13/Datos!K13)*11)/factor_trimestre," - ")</f>
        <v>11.095890410958905</v>
      </c>
      <c r="BI13" s="896">
        <f>IF(ISNUMBER('Resol  Asuntos'!D13/NºAsuntos!G13),'Resol  Asuntos'!D13/NºAsuntos!G13," - ")</f>
        <v>0.33333333333333331</v>
      </c>
      <c r="BJ13" s="896" t="str">
        <f>IF(ISNUMBER(Datos!CI13/Datos!CJ13),Datos!CI13/Datos!CJ13," - ")</f>
        <v xml:space="preserve"> - </v>
      </c>
      <c r="BK13" s="896">
        <f>SUBTOTAL(9,BK8:BK12)</f>
        <v>0</v>
      </c>
      <c r="BL13" s="896" t="str">
        <f>IF(ISNUMBER((I13-AB13+L13)/(F13)),(I13-AB13+L13)/(F13)," - ")</f>
        <v xml:space="preserve"> - </v>
      </c>
      <c r="BM13" s="901">
        <f>SUBTOTAL(9,BM9:BM12)</f>
        <v>-1.5228426395939087E-2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398</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52.765916470546983</v>
      </c>
      <c r="CF15" s="228">
        <f ca="1">AVERAGEIFS($AB:$AB,$BW:$BW,BW15,$BX:$BX,BX15)</f>
        <v>52.765916470546983</v>
      </c>
      <c r="CG15" s="1191">
        <v>0.7</v>
      </c>
      <c r="CH15" s="1191">
        <f ca="1">AVERAGEIF($BW:$BW,BW15,$AC:$AC)</f>
        <v>16.875</v>
      </c>
      <c r="CI15" s="228">
        <f ca="1">AVERAGEIFS($AC:$AC,$BW:$BW,BW15,$BX:$BX,BX15)</f>
        <v>16.875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50.571428571428569</v>
      </c>
      <c r="CR15" s="228">
        <f ca="1">AVERAGEIFS($AF:$AF,$BW:$BW,BW15,$BX:$BX,BX15)</f>
        <v>50.571428571428569</v>
      </c>
      <c r="CS15" s="1191">
        <v>1.3</v>
      </c>
      <c r="CT15" s="1191">
        <v>1.5</v>
      </c>
      <c r="CU15" s="1191">
        <f ca="1">AVERAGEIF($BW:$BW,$BW15,$AH:$AH)</f>
        <v>0.42857142857142855</v>
      </c>
      <c r="CV15" s="228">
        <f ca="1">AVERAGEIFS($AH:$AH,$BW:$BW,$BW15,$BX:$BX,$BX15)</f>
        <v>0.42857142857142855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151.125</v>
      </c>
      <c r="DH15" s="1218">
        <f ca="1">AVERAGEIFS($AM:$AM,$BW:$BW,$BW15,$BX:$BX,$BX15)</f>
        <v>151.125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4.233506746587568</v>
      </c>
      <c r="ER15" s="1218">
        <f ca="1">AVERAGEIFS($BH:$BH,$BW:$BW,$BW15,$BX:$BX,$BX15)</f>
        <v>4.233506746587568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398</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52.765916470546983</v>
      </c>
      <c r="CF16" s="1218">
        <f ca="1">AVERAGEIFS($AB:$AB,$BW:$BW,BW16,$BX:$BX,BX16)</f>
        <v>52.765916470546983</v>
      </c>
      <c r="CG16" s="1191">
        <v>0.7</v>
      </c>
      <c r="CH16" s="1191">
        <f ca="1">AVERAGEIF($BW:$BW,BW16,$AC:$AC)</f>
        <v>16.875</v>
      </c>
      <c r="CI16" s="1218">
        <f ca="1">AVERAGEIFS($AC:$AC,$BW:$BW,BW16,$BX:$BX,BX16)</f>
        <v>16.875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50.571428571428569</v>
      </c>
      <c r="CR16" s="1218">
        <f ca="1">AVERAGEIFS($AF:$AF,$BW:$BW,BW16,$BX:$BX,BX16)</f>
        <v>50.571428571428569</v>
      </c>
      <c r="CS16" s="1191">
        <v>1.3</v>
      </c>
      <c r="CT16" s="1191">
        <v>1.5</v>
      </c>
      <c r="CU16" s="1191">
        <f ca="1">AVERAGEIF($BW:$BW,$BW16,$AH:$AH)</f>
        <v>0.42857142857142855</v>
      </c>
      <c r="CV16" s="1218">
        <f ca="1">AVERAGEIFS($AH:$AH,$BW:$BW,$BW16,$BX:$BX,$BX16)</f>
        <v>0.42857142857142855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151.125</v>
      </c>
      <c r="DH16" s="1218">
        <f ca="1">AVERAGEIFS($AM:$AM,$BW:$BW,$BW16,$BX:$BX,$BX16)</f>
        <v>151.125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4.233506746587568</v>
      </c>
      <c r="ER16" s="1218">
        <f ca="1">AVERAGEIFS($BH:$BH,$BW:$BW,$BW16,$BX:$BX,$BX16)</f>
        <v>4.233506746587568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398</v>
      </c>
      <c r="C17" s="598" t="str">
        <f>Datos!A17</f>
        <v xml:space="preserve">Sección Civil y de Inst. TI                      </v>
      </c>
      <c r="D17" s="599"/>
      <c r="E17" s="1160">
        <f>IF(ISNUMBER(Datos!AQ17),Datos!AQ17," - ")</f>
        <v>1</v>
      </c>
      <c r="F17" s="594">
        <f>IF(ISNUMBER(AF17+AB17-Datos!J17-L17),AF17+AB17-Datos!J17-L17," - ")</f>
        <v>117</v>
      </c>
      <c r="G17" s="596">
        <f>IF(ISNUMBER(IF(D_I="SI",Datos!I17,Datos!I17+Datos!AC17)),IF(D_I="SI",Datos!I17,Datos!I17+Datos!AC17)," - ")</f>
        <v>117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118</v>
      </c>
      <c r="AC17" s="224">
        <f>IF(ISNUMBER(Datos!Q17),Datos!Q17," - ")</f>
        <v>8</v>
      </c>
      <c r="AD17" s="224"/>
      <c r="AE17" s="224"/>
      <c r="AF17" s="224">
        <f>IF(ISNUMBER(IF(D_I="SI",Datos!L17,Datos!L17+Datos!AF17)),IF(D_I="SI",Datos!L17,Datos!L17+Datos!AF17)," - ")</f>
        <v>118</v>
      </c>
      <c r="AG17" s="333"/>
      <c r="AH17" s="224"/>
      <c r="AI17" s="224"/>
      <c r="AJ17" s="1214"/>
      <c r="AK17" s="333"/>
      <c r="AL17" s="478"/>
      <c r="AM17" s="1214">
        <f>IF(ISNUMBER(Datos!R17),Datos!R17," - ")</f>
        <v>15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v>
      </c>
      <c r="BD17" s="228">
        <f>IF(ISNUMBER(Datos!N17),Datos!N17," - ")</f>
        <v>78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0.99159663865546221</v>
      </c>
      <c r="BH17" s="1214">
        <f>IF(ISNUMBER(((IF(D_I="SI",Datos!L17/Datos!K17,(Datos!L17+Datos!AF17)/(Datos!K17+Datos!AE17)))*11)/factor_trimestre),((IF(D_I="SI",Datos!L17/Datos!K17,(Datos!L17+Datos!AF17)/(Datos!K17+Datos!AE17)))*11)/factor_trimestre," - ")</f>
        <v>3</v>
      </c>
      <c r="BI17" s="242">
        <f>IF(ISNUMBER('Resol  Asuntos'!D17/NºAsuntos!G17),'Resol  Asuntos'!D17/NºAsuntos!G17," - ")</f>
        <v>0.17796610169491525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52.765916470546983</v>
      </c>
      <c r="CF17" s="228">
        <f ca="1">AVERAGEIFS($AB:$AB,$BW:$BW,BW17,$BX:$BX,BX17)</f>
        <v>52.765916470546983</v>
      </c>
      <c r="CG17" s="1191">
        <v>0.7</v>
      </c>
      <c r="CH17" s="1191">
        <f ca="1">AVERAGEIF($BW:$BW,BW17,$AC:$AC)</f>
        <v>16.875</v>
      </c>
      <c r="CI17" s="228">
        <f ca="1">AVERAGEIFS($AC:$AC,$BW:$BW,BW17,$BX:$BX,BX17)</f>
        <v>16.875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50.571428571428569</v>
      </c>
      <c r="CR17" s="228">
        <f ca="1">AVERAGEIFS($AF:$AF,$BW:$BW,BW17,$BX:$BX,BX17)</f>
        <v>50.571428571428569</v>
      </c>
      <c r="CS17" s="1191">
        <v>1.3</v>
      </c>
      <c r="CT17" s="1191">
        <v>1.5</v>
      </c>
      <c r="CU17" s="1191">
        <f ca="1">AVERAGEIF($BW:$BW,$BW17,$AH:$AH)</f>
        <v>0.42857142857142855</v>
      </c>
      <c r="CV17" s="228">
        <f ca="1">AVERAGEIFS($AH:$AH,$BW:$BW,$BW17,$BX:$BX,$BX17)</f>
        <v>0.42857142857142855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151.125</v>
      </c>
      <c r="DH17" s="1218">
        <f ca="1">AVERAGEIFS($AM:$AM,$BW:$BW,$BW17,$BX:$BX,$BX17)</f>
        <v>151.125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4.233506746587568</v>
      </c>
      <c r="ER17" s="1218">
        <f ca="1">AVERAGEIFS($BH:$BH,$BW:$BW,$BW17,$BX:$BX,$BX17)</f>
        <v>4.233506746587568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0</v>
      </c>
      <c r="B18" s="506" t="s">
        <v>398</v>
      </c>
      <c r="C18" s="7" t="str">
        <f>Datos!A18</f>
        <v>Sección De Violencia sobre la Mujer del TI</v>
      </c>
      <c r="D18" s="507"/>
      <c r="E18" s="1020">
        <f>IF(ISNUMBER(Datos!AQ18),Datos!AQ18," - ")</f>
        <v>0</v>
      </c>
      <c r="F18" s="224" t="str">
        <f>IF(ISNUMBER(AF18+AB18-I18-L18),AF18+AB18-I18-L18," - ")</f>
        <v xml:space="preserve"> - </v>
      </c>
      <c r="G18" s="332" t="str">
        <f>IF(ISNUMBER(IF(D_I="SI",Datos!I18,Datos!I18+Datos!AC18)),IF(D_I="SI",Datos!I18,Datos!I18+Datos!AC18)," - ")</f>
        <v xml:space="preserve"> - </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t="str">
        <f>IF(ISNUMBER(IF(D_I="SI",Datos!K18,Datos!K18+Datos!AE18)),IF(D_I="SI",Datos!K18,Datos!K18+Datos!AE18)," - ")</f>
        <v xml:space="preserve"> - </v>
      </c>
      <c r="AC18" s="224" t="str">
        <f>IF(ISNUMBER(Datos!Q18),Datos!Q18," - ")</f>
        <v xml:space="preserve"> - </v>
      </c>
      <c r="AD18" s="224"/>
      <c r="AE18" s="224"/>
      <c r="AF18" s="224" t="str">
        <f>IF(ISNUMBER(Datos!L18),Datos!L18,"-")</f>
        <v>-</v>
      </c>
      <c r="AG18" s="333"/>
      <c r="AH18" s="224"/>
      <c r="AI18" s="224"/>
      <c r="AJ18" s="1214"/>
      <c r="AK18" s="333"/>
      <c r="AL18" s="478"/>
      <c r="AM18" s="1214" t="str">
        <f>IF(ISNUMBER(Datos!R18),Datos!R18," - ")</f>
        <v xml:space="preserve"> - </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t="str">
        <f>IF(ISNUMBER(Datos!M18),Datos!M18," - ")</f>
        <v xml:space="preserve"> - </v>
      </c>
      <c r="BD18" s="228" t="str">
        <f>IF(ISNUMBER(Datos!N18),Datos!N18," - ")</f>
        <v xml:space="preserve"> - </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52.765916470546983</v>
      </c>
      <c r="CF18" s="228">
        <f ca="1">AVERAGEIFS($AB:$AB,$BW:$BW,BW18,$BX:$BX,BX18)</f>
        <v>52.765916470546983</v>
      </c>
      <c r="CG18" s="1191">
        <v>0.7</v>
      </c>
      <c r="CH18" s="1191">
        <f ca="1">AVERAGEIF($BW:$BW,BW18,$AC:$AC)</f>
        <v>16.875</v>
      </c>
      <c r="CI18" s="228">
        <f ca="1">AVERAGEIFS($AC:$AC,$BW:$BW,BW18,$BX:$BX,BX18)</f>
        <v>16.875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50.571428571428569</v>
      </c>
      <c r="CR18" s="228">
        <f ca="1">AVERAGEIFS($AF:$AF,$BW:$BW,BW18,$BX:$BX,BX18)</f>
        <v>50.571428571428569</v>
      </c>
      <c r="CS18" s="1191">
        <v>1.3</v>
      </c>
      <c r="CT18" s="1191">
        <v>1.5</v>
      </c>
      <c r="CU18" s="1191">
        <f ca="1">AVERAGEIF($BW:$BW,$BW18,$AH:$AH)</f>
        <v>0.42857142857142855</v>
      </c>
      <c r="CV18" s="228">
        <f ca="1">AVERAGEIFS($AH:$AH,$BW:$BW,$BW18,$BX:$BX,$BX18)</f>
        <v>0.42857142857142855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151.125</v>
      </c>
      <c r="DH18" s="1218">
        <f ca="1">AVERAGEIFS($AM:$AM,$BW:$BW,$BW18,$BX:$BX,$BX18)</f>
        <v>151.125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4.233506746587568</v>
      </c>
      <c r="ER18" s="1218">
        <f ca="1">AVERAGEIFS($BH:$BH,$BW:$BW,$BW18,$BX:$BX,$BX18)</f>
        <v>4.233506746587568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117</v>
      </c>
      <c r="G19" s="895">
        <f>SUBTOTAL(9,G15:G18)</f>
        <v>117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118</v>
      </c>
      <c r="AC19" s="896">
        <f t="shared" si="5"/>
        <v>8</v>
      </c>
      <c r="AD19" s="896">
        <f t="shared" si="5"/>
        <v>0</v>
      </c>
      <c r="AE19" s="896">
        <f t="shared" si="5"/>
        <v>0</v>
      </c>
      <c r="AF19" s="896">
        <f t="shared" si="5"/>
        <v>118</v>
      </c>
      <c r="AG19" s="896">
        <f t="shared" si="5"/>
        <v>0</v>
      </c>
      <c r="AH19" s="896">
        <f t="shared" si="5"/>
        <v>0</v>
      </c>
      <c r="AI19" s="896">
        <f t="shared" si="5"/>
        <v>0</v>
      </c>
      <c r="AJ19" s="896">
        <f t="shared" si="5"/>
        <v>0</v>
      </c>
      <c r="AK19" s="896">
        <f t="shared" si="5"/>
        <v>0</v>
      </c>
      <c r="AL19" s="896">
        <f t="shared" si="5"/>
        <v>0</v>
      </c>
      <c r="AM19" s="896">
        <f t="shared" si="5"/>
        <v>15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v>
      </c>
      <c r="BD19" s="896">
        <f t="shared" si="5"/>
        <v>78</v>
      </c>
      <c r="BE19" s="896">
        <f t="shared" si="5"/>
        <v>0</v>
      </c>
      <c r="BF19" s="896">
        <f t="shared" si="5"/>
        <v>0</v>
      </c>
      <c r="BG19" s="896">
        <f>IF(ISNUMBER(Datos!K19/Datos!J19),Datos!K19/Datos!J19," - ")</f>
        <v>0.99159663865546221</v>
      </c>
      <c r="BH19" s="900">
        <f>IF(ISNUMBER(((Datos!L19/Datos!K19)*11)/factor_trimestre),((Datos!L19/Datos!K19)*11)/factor_trimestre," - ")</f>
        <v>3</v>
      </c>
      <c r="BI19" s="896">
        <f>SUBTOTAL(9,BI15:BI18)</f>
        <v>0.17796610169491525</v>
      </c>
      <c r="BJ19" s="896">
        <f>SUBTOTAL(9,BJ15:BJ18)</f>
        <v>0</v>
      </c>
      <c r="BK19" s="896">
        <f>SUBTOTAL(9,BK15:BK18)</f>
        <v>0</v>
      </c>
      <c r="BL19" s="896">
        <f>IF(ISNUMBER((I19-AB19+L19)/(F19)),(I19-AB19+L19)/(F19)," - ")</f>
        <v>-1.0085470085470085</v>
      </c>
      <c r="BM19" s="902">
        <f>IF(ISNUMBER((Datos!P19-Datos!Q19)/(Datos!R19-Datos!P19+Datos!Q19)),(Datos!P19-Datos!Q19)/(Datos!R19-Datos!P19+Datos!Q19)," - ")</f>
        <v>-0.21052631578947367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117</v>
      </c>
      <c r="G20" s="817">
        <f t="shared" si="7"/>
        <v>117</v>
      </c>
      <c r="H20" s="819">
        <f t="shared" si="7"/>
        <v>0</v>
      </c>
      <c r="I20" s="817">
        <f t="shared" si="7"/>
        <v>0</v>
      </c>
      <c r="J20" s="819">
        <f t="shared" si="7"/>
        <v>0</v>
      </c>
      <c r="K20" s="819">
        <f t="shared" si="7"/>
        <v>0</v>
      </c>
      <c r="L20" s="878">
        <f t="shared" si="7"/>
        <v>0</v>
      </c>
      <c r="M20" s="878">
        <f t="shared" si="7"/>
        <v>0</v>
      </c>
      <c r="N20" s="878">
        <f t="shared" si="7"/>
        <v>5</v>
      </c>
      <c r="O20" s="878">
        <f t="shared" si="7"/>
        <v>0</v>
      </c>
      <c r="P20" s="878">
        <f t="shared" si="7"/>
        <v>0</v>
      </c>
      <c r="Q20" s="819">
        <f t="shared" si="7"/>
        <v>35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118</v>
      </c>
      <c r="AC20" s="818">
        <f t="shared" si="8"/>
        <v>45</v>
      </c>
      <c r="AD20" s="818">
        <f t="shared" si="8"/>
        <v>0</v>
      </c>
      <c r="AE20" s="818">
        <f t="shared" si="8"/>
        <v>0</v>
      </c>
      <c r="AF20" s="825">
        <f t="shared" si="8"/>
        <v>118</v>
      </c>
      <c r="AG20" s="825">
        <f t="shared" si="8"/>
        <v>0</v>
      </c>
      <c r="AH20" s="825">
        <f t="shared" si="8"/>
        <v>1</v>
      </c>
      <c r="AI20" s="825">
        <f t="shared" si="8"/>
        <v>0</v>
      </c>
      <c r="AJ20" s="818">
        <f t="shared" si="8"/>
        <v>0</v>
      </c>
      <c r="AK20" s="825">
        <f t="shared" si="8"/>
        <v>0</v>
      </c>
      <c r="AL20" s="825">
        <f t="shared" si="8"/>
        <v>0</v>
      </c>
      <c r="AM20" s="825">
        <f t="shared" si="8"/>
        <v>403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v>
      </c>
      <c r="BD20" s="817">
        <f t="shared" si="8"/>
        <v>99</v>
      </c>
      <c r="BE20" s="817">
        <f t="shared" si="8"/>
        <v>0</v>
      </c>
      <c r="BF20" s="827">
        <f t="shared" si="8"/>
        <v>0</v>
      </c>
      <c r="BG20" s="912">
        <f>IF(ISNUMBER(Datos!K20/Datos!J20),Datos!K20/Datos!J20," - ")</f>
        <v>0.87214611872146119</v>
      </c>
      <c r="BH20" s="912">
        <f>IF(ISNUMBER(((Datos!L20/Datos!K20)*11)/factor_trimestre),((Datos!L20/Datos!K20)*11)/factor_trimestre," - ")</f>
        <v>6.0942408376963364</v>
      </c>
      <c r="BI20" s="810">
        <f>IF(ISNUMBER(Datos!J20/Datos!I20),Datos!J20/Datos!I20," - ")</f>
        <v>0.60833333333333328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-1.0085470085470085</v>
      </c>
      <c r="BM20" s="886">
        <f>IF(ISNUMBER((Datos!P20-Datos!Q20+R20)/(Datos!R20-Datos!P20+Datos!Q20-R20)),(Datos!P20-Datos!Q20+R20)/(Datos!R20-Datos!P20+Datos!Q20-R20)," - ")</f>
        <v>-2.4213075060532687E-2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266</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267</v>
      </c>
      <c r="D22" s="481"/>
      <c r="E22" s="516">
        <f>IF(ISNUMBER(STDEV(E8:E19)),STDEV(E8:E19),"-")</f>
        <v>0.5163977794943222</v>
      </c>
      <c r="F22" s="550">
        <f>IF(ISNUMBER(STDEV(F8:F19)),STDEV(F8:F19),"-")</f>
        <v>67.549981495186216</v>
      </c>
      <c r="G22" s="551">
        <f>IF(ISNUMBER(STDEV(G8:G19)),STDEV(G8:G19),"-")</f>
        <v>67.549981495186216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68.127331764375839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2.8867513459481291</v>
      </c>
      <c r="BD22" s="550"/>
      <c r="BE22" s="550">
        <f>IF(ISNUMBER(STDEV(BE8:BE19)),STDEV(BE8:BE19),"-")</f>
        <v>0</v>
      </c>
      <c r="BF22" s="555">
        <f>IF(ISNUMBER(STDEV(BF8:BF19)),STDEV(BF8:BF19),"-")</f>
        <v>0</v>
      </c>
      <c r="BG22" s="772">
        <f>IF(ISNUMBER(STDEV(BG8:BG19)),STDEV(BG8:BG19),"-")</f>
        <v>0.14741482918794335</v>
      </c>
      <c r="BH22" s="773">
        <f>IF(ISNUMBER(STDEV(BH8:BH19)),STDEV(BH8:BH19),"-")</f>
        <v>4.4883525475559418</v>
      </c>
      <c r="BI22" s="248">
        <f>IF(ISNUMBER(STDEV(BI8:BI19)),STDEV(BI8:BI19),"-")</f>
        <v>8.9701313009687617E-2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426</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264</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265</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wncxSfGW8rApWaTW+aVClqOvJGLP6S4bJoOcbsic3shxNUBmzI9eCfJ02P7+MmDZ37h4jVJPXk0SLDJJSCigw==" saltValue="ImBGVjleI0vkfUkHfqbLe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LOGROSAN</v>
      </c>
      <c r="D2" s="641"/>
      <c r="E2" s="646"/>
      <c r="F2" s="646"/>
      <c r="G2" s="647"/>
      <c r="I2" s="646"/>
      <c r="J2" s="648"/>
      <c r="K2" s="646"/>
      <c r="L2" s="646"/>
      <c r="M2" s="649"/>
      <c r="N2" s="649"/>
      <c r="O2" s="646"/>
      <c r="S2" s="646"/>
      <c r="T2" s="650"/>
    </row>
    <row r="3" spans="1:146" ht="21.75" customHeight="1">
      <c r="C3" s="1456" t="s">
        <v>998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353</v>
      </c>
      <c r="B5" s="271"/>
      <c r="C5" s="1542" t="str">
        <f>"Año:  " &amp;Criterios!B$5 &amp; "          Trimestre   " &amp;Criterios!D$5 &amp; " al " &amp;Criterios!D$6</f>
        <v>Año:  2026          Trimestre   1 al 1</v>
      </c>
      <c r="D5" s="1774" t="s">
        <v>378</v>
      </c>
      <c r="E5" s="1774" t="s">
        <v>553</v>
      </c>
      <c r="F5" s="1809" t="s">
        <v>408</v>
      </c>
      <c r="G5" s="1774" t="s">
        <v>130</v>
      </c>
      <c r="H5" s="1774" t="s">
        <v>583</v>
      </c>
      <c r="I5" s="1848" t="s">
        <v>554</v>
      </c>
      <c r="J5" s="1774" t="s">
        <v>657</v>
      </c>
      <c r="K5" s="1774" t="s">
        <v>555</v>
      </c>
      <c r="L5" s="1774" t="s">
        <v>523</v>
      </c>
      <c r="M5" s="1804" t="s">
        <v>581</v>
      </c>
      <c r="N5" s="1774" t="s">
        <v>712</v>
      </c>
      <c r="O5" s="1774" t="s">
        <v>672</v>
      </c>
      <c r="P5" s="1774" t="s">
        <v>170</v>
      </c>
      <c r="Q5" s="1792" t="s">
        <v>669</v>
      </c>
      <c r="R5" s="1792" t="s">
        <v>713</v>
      </c>
      <c r="S5" s="1774" t="s">
        <v>584</v>
      </c>
      <c r="T5" s="1792" t="s">
        <v>556</v>
      </c>
      <c r="U5" s="1792" t="s">
        <v>755</v>
      </c>
      <c r="V5" s="1792" t="s">
        <v>756</v>
      </c>
      <c r="W5" s="1798" t="s">
        <v>606</v>
      </c>
      <c r="X5" s="1854" t="s">
        <v>557</v>
      </c>
      <c r="Y5" s="1857" t="s">
        <v>558</v>
      </c>
      <c r="Z5" s="1857" t="s">
        <v>559</v>
      </c>
      <c r="AA5" s="1848" t="s">
        <v>673</v>
      </c>
      <c r="AB5" s="1848" t="s">
        <v>678</v>
      </c>
      <c r="AC5" s="1774" t="s">
        <v>184</v>
      </c>
      <c r="AD5" s="1860" t="s">
        <v>182</v>
      </c>
      <c r="AE5" s="1848" t="s">
        <v>674</v>
      </c>
      <c r="AF5" s="1845" t="s">
        <v>675</v>
      </c>
      <c r="AG5" s="1777" t="s">
        <v>532</v>
      </c>
      <c r="AH5" s="1848" t="s">
        <v>533</v>
      </c>
      <c r="AI5" s="1848" t="s">
        <v>604</v>
      </c>
      <c r="AJ5" s="1851" t="s">
        <v>605</v>
      </c>
      <c r="AK5" s="1777" t="s">
        <v>185</v>
      </c>
      <c r="AL5" s="1774" t="s">
        <v>563</v>
      </c>
      <c r="AM5" s="1848" t="s">
        <v>249</v>
      </c>
      <c r="AN5" s="1848" t="s">
        <v>250</v>
      </c>
      <c r="AO5" s="1774" t="s">
        <v>251</v>
      </c>
      <c r="AP5" s="1848" t="s">
        <v>564</v>
      </c>
      <c r="AQ5" s="1774" t="s">
        <v>252</v>
      </c>
      <c r="AR5" s="1848" t="s">
        <v>565</v>
      </c>
      <c r="AS5" s="1774" t="s">
        <v>566</v>
      </c>
      <c r="AT5" s="1774" t="s">
        <v>567</v>
      </c>
      <c r="AU5" s="1774" t="s">
        <v>592</v>
      </c>
      <c r="AV5" s="1774" t="s">
        <v>585</v>
      </c>
      <c r="AW5" s="1848" t="s">
        <v>796</v>
      </c>
      <c r="AX5" s="1848" t="s">
        <v>799</v>
      </c>
      <c r="AY5" s="1774" t="s">
        <v>801</v>
      </c>
      <c r="AZ5" s="1774" t="s">
        <v>586</v>
      </c>
      <c r="BA5" s="1774" t="s">
        <v>817</v>
      </c>
      <c r="BB5" s="1848" t="s">
        <v>568</v>
      </c>
      <c r="BC5" s="1774" t="s">
        <v>531</v>
      </c>
      <c r="BW5" s="1774" t="s">
        <v>124</v>
      </c>
      <c r="BX5" s="1774" t="s">
        <v>125</v>
      </c>
      <c r="BY5" s="1774" t="s">
        <v>905</v>
      </c>
      <c r="BZ5" s="1774" t="s">
        <v>906</v>
      </c>
      <c r="CA5" s="1774" t="s">
        <v>907</v>
      </c>
      <c r="CB5" s="1863" t="s">
        <v>993</v>
      </c>
      <c r="CC5" s="1863" t="s">
        <v>994</v>
      </c>
      <c r="CD5" s="1863" t="s">
        <v>995</v>
      </c>
      <c r="CE5" s="1774" t="s">
        <v>913</v>
      </c>
      <c r="CF5" s="1774" t="s">
        <v>914</v>
      </c>
      <c r="CG5" s="1774" t="s">
        <v>908</v>
      </c>
      <c r="CH5" s="1839" t="s">
        <v>918</v>
      </c>
      <c r="CI5" s="1839" t="s">
        <v>919</v>
      </c>
      <c r="CJ5" s="1839" t="s">
        <v>920</v>
      </c>
      <c r="CK5" s="1774" t="s">
        <v>909</v>
      </c>
      <c r="CL5" s="1774" t="s">
        <v>910</v>
      </c>
      <c r="CM5" s="1774" t="s">
        <v>911</v>
      </c>
      <c r="CN5" s="1774" t="s">
        <v>912</v>
      </c>
      <c r="CO5" s="1774" t="s">
        <v>939</v>
      </c>
      <c r="CP5" s="1774" t="s">
        <v>940</v>
      </c>
      <c r="CQ5" s="1774" t="s">
        <v>941</v>
      </c>
      <c r="CR5" s="1774" t="s">
        <v>942</v>
      </c>
      <c r="CS5" s="1839" t="s">
        <v>943</v>
      </c>
      <c r="CT5" s="1839" t="s">
        <v>944</v>
      </c>
      <c r="CU5" s="1839" t="s">
        <v>945</v>
      </c>
      <c r="CV5" s="1839" t="s">
        <v>946</v>
      </c>
      <c r="CW5" s="1774" t="s">
        <v>947</v>
      </c>
      <c r="CX5" s="1774" t="s">
        <v>948</v>
      </c>
      <c r="CY5" s="1774" t="s">
        <v>949</v>
      </c>
      <c r="CZ5" s="1774" t="s">
        <v>950</v>
      </c>
      <c r="DA5" s="1839" t="s">
        <v>951</v>
      </c>
      <c r="DB5" s="1839" t="s">
        <v>952</v>
      </c>
      <c r="DC5" s="1839" t="s">
        <v>953</v>
      </c>
      <c r="DD5" s="1839" t="s">
        <v>954</v>
      </c>
      <c r="DE5" s="1774" t="s">
        <v>955</v>
      </c>
      <c r="DF5" s="1774" t="s">
        <v>956</v>
      </c>
      <c r="DG5" s="1774" t="s">
        <v>957</v>
      </c>
      <c r="DH5" s="1774" t="s">
        <v>958</v>
      </c>
      <c r="DI5" s="1839" t="s">
        <v>959</v>
      </c>
      <c r="DJ5" s="1839" t="s">
        <v>960</v>
      </c>
      <c r="DK5" s="1839" t="s">
        <v>961</v>
      </c>
      <c r="DL5" s="1839" t="s">
        <v>962</v>
      </c>
      <c r="DM5" s="1774" t="s">
        <v>963</v>
      </c>
      <c r="DN5" s="1774" t="s">
        <v>964</v>
      </c>
      <c r="DO5" s="1774" t="s">
        <v>965</v>
      </c>
      <c r="DP5" s="1774" t="s">
        <v>966</v>
      </c>
      <c r="DQ5" s="1839" t="s">
        <v>967</v>
      </c>
      <c r="DR5" s="1839" t="s">
        <v>968</v>
      </c>
      <c r="DS5" s="1839" t="s">
        <v>969</v>
      </c>
      <c r="DT5" s="1839" t="s">
        <v>970</v>
      </c>
      <c r="DU5" s="1774" t="s">
        <v>971</v>
      </c>
      <c r="DV5" s="1774" t="s">
        <v>972</v>
      </c>
      <c r="DW5" s="1774" t="s">
        <v>973</v>
      </c>
      <c r="DX5" s="1774" t="s">
        <v>974</v>
      </c>
      <c r="DY5" s="1866" t="s">
        <v>975</v>
      </c>
      <c r="DZ5" s="1866" t="s">
        <v>976</v>
      </c>
      <c r="EA5" s="1866" t="s">
        <v>977</v>
      </c>
      <c r="EB5" s="1866" t="s">
        <v>978</v>
      </c>
      <c r="EC5" s="1774" t="s">
        <v>981</v>
      </c>
      <c r="ED5" s="1774" t="s">
        <v>979</v>
      </c>
      <c r="EE5" s="1774" t="s">
        <v>980</v>
      </c>
      <c r="EF5" s="1866" t="s">
        <v>982</v>
      </c>
      <c r="EG5" s="1866" t="s">
        <v>983</v>
      </c>
      <c r="EH5" s="1866" t="s">
        <v>984</v>
      </c>
      <c r="EI5" s="1866" t="s">
        <v>985</v>
      </c>
      <c r="EJ5" s="1774" t="s">
        <v>988</v>
      </c>
      <c r="EK5" s="1774" t="s">
        <v>986</v>
      </c>
      <c r="EL5" s="1774" t="s">
        <v>987</v>
      </c>
      <c r="EM5" s="1774" t="s">
        <v>989</v>
      </c>
      <c r="EN5" s="1866" t="s">
        <v>990</v>
      </c>
      <c r="EO5" s="1866" t="s">
        <v>991</v>
      </c>
      <c r="EP5" s="1866" t="s">
        <v>992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248</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248</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248</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248</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0.33333333333333331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398</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398</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398</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398</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266</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267</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0.23570226039551584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426</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264</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265</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OXWyhZbU3ZcUtL0/y8qYlTlP2VP0K6yEJkGMbm9D6s9HxpPLFlKxkVRUVdIBfCoq4laA1FlQ10tdSD0W94HSg==" saltValue="dpG/WoLOoVzbu2/IHvct5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996</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LOGROSAN</v>
      </c>
      <c r="D4" s="1459"/>
      <c r="E4" s="1459"/>
    </row>
    <row r="5" spans="1:5">
      <c r="A5" s="1463" t="s">
        <v>37</v>
      </c>
      <c r="B5" s="1464">
        <f>Año</f>
        <v>2026</v>
      </c>
      <c r="C5" s="1461" t="s">
        <v>217</v>
      </c>
      <c r="D5" s="1459">
        <f>TrimIni</f>
        <v>1</v>
      </c>
      <c r="E5" s="1455"/>
    </row>
    <row r="6" spans="1:5">
      <c r="A6" s="1460"/>
      <c r="B6" s="1460"/>
      <c r="C6" s="1465" t="s">
        <v>218</v>
      </c>
      <c r="D6" s="1460">
        <f>TrimFin</f>
        <v>1</v>
      </c>
      <c r="E6" s="1455"/>
    </row>
    <row r="7" spans="1:5" ht="47.25">
      <c r="A7" s="1452" t="s">
        <v>997</v>
      </c>
      <c r="B7" s="1452" t="s">
        <v>1001</v>
      </c>
      <c r="C7" s="1452" t="s">
        <v>1002</v>
      </c>
      <c r="D7" s="1452" t="s">
        <v>1003</v>
      </c>
      <c r="E7" s="1452" t="s">
        <v>1004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BtysmxDUsWVr5GoVlgWv/vdRR3xy4D7m9cmsOUHpndkOa1mEFQufWc1orOOxkLMAfBfuqJaagO0/QeAHU5OTQ==" saltValue="Sxvjrn49Ygm6VwuwawgnO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220</v>
      </c>
      <c r="B3" s="390" t="str">
        <f>Criterios!A10 &amp;"  "&amp;Criterios!B10</f>
        <v>Provincias  CACERES</v>
      </c>
      <c r="C3" s="414"/>
      <c r="F3" s="374"/>
      <c r="G3" s="374"/>
      <c r="H3" s="374"/>
    </row>
    <row r="4" spans="1:16" ht="13.5" thickBot="1">
      <c r="A4" s="374"/>
      <c r="B4" s="390" t="str">
        <f>Criterios!A11 &amp;"  "&amp;Criterios!B11</f>
        <v>Resumenes por Partidos Judiciales  LOGROSAN</v>
      </c>
      <c r="C4" s="374"/>
      <c r="E4" s="374"/>
      <c r="F4" s="374"/>
      <c r="G4" s="374"/>
      <c r="H4" s="374"/>
    </row>
    <row r="5" spans="1:16" ht="15.75" customHeight="1">
      <c r="A5" s="1489" t="str">
        <f>"Año:  " &amp;Criterios!B5</f>
        <v>Año:  2026</v>
      </c>
      <c r="B5" s="1479" t="s">
        <v>207</v>
      </c>
      <c r="C5" s="1492"/>
      <c r="D5" s="1479" t="s">
        <v>224</v>
      </c>
      <c r="E5" s="1497"/>
      <c r="F5" s="1492"/>
      <c r="G5" s="1479" t="s">
        <v>209</v>
      </c>
      <c r="H5" s="1480"/>
      <c r="I5" s="1479" t="s">
        <v>210</v>
      </c>
      <c r="J5" s="1480"/>
      <c r="K5" s="1479" t="s">
        <v>211</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208</v>
      </c>
      <c r="D7" s="415" t="s">
        <v>107</v>
      </c>
      <c r="E7" s="415" t="s">
        <v>208</v>
      </c>
      <c r="F7" s="394" t="s">
        <v>6</v>
      </c>
      <c r="G7" s="415" t="s">
        <v>107</v>
      </c>
      <c r="H7" s="415" t="s">
        <v>212</v>
      </c>
      <c r="I7" s="415" t="s">
        <v>107</v>
      </c>
      <c r="J7" s="415" t="s">
        <v>212</v>
      </c>
      <c r="K7" s="415" t="s">
        <v>107</v>
      </c>
      <c r="L7" s="416" t="s">
        <v>212</v>
      </c>
      <c r="M7" s="416" t="s">
        <v>221</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t="str">
        <f>IF(ISNUMBER(E10/Datos!BH10),E10/Datos!BH10," - ")</f>
        <v xml:space="preserve"> - </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t="str">
        <f>IF(ISNUMBER(E18/Datos!BH18),E18/Datos!BH18," - ")</f>
        <v xml:space="preserve"> - </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1F4ET2e4ZWoLjyz0CXkevN2EdYxoyGZl6JCANjcfMHIXqnSjqXAYz/e+bK5V95El4muXOUquuRpiqTw/NBdDw==" saltValue="EqF3sfsn8P2tCNcPVMEc8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LOGROSAN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234</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235</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0</v>
      </c>
      <c r="C10" s="409">
        <f>Datos!AQ10</f>
        <v>0</v>
      </c>
      <c r="D10" s="402" t="str">
        <f>IF(ISNUMBER(Datos!M10),Datos!M10," - ")</f>
        <v xml:space="preserve"> - </v>
      </c>
      <c r="E10" s="403" t="str">
        <f>IF(ISNUMBER(D10/B10),D10/B10," - ")</f>
        <v xml:space="preserve"> - </v>
      </c>
      <c r="F10" s="402" t="str">
        <f>IF(ISNUMBER(Datos!N10),Datos!N10," - ")</f>
        <v xml:space="preserve"> - </v>
      </c>
      <c r="G10" s="403" t="str">
        <f>IF(ISNUMBER(F10/B10),F10/B10," - ")</f>
        <v xml:space="preserve"> - </v>
      </c>
      <c r="H10" s="402" t="str">
        <f>IF(ISNUMBER(Datos!O10),Datos!O10," - ")</f>
        <v xml:space="preserve"> - </v>
      </c>
      <c r="I10" s="403" t="str">
        <f t="shared" ref="I10:I12" si="2">IF(ISNUMBER(H10/B10),H10/B10," - ")</f>
        <v xml:space="preserve"> - </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26</v>
      </c>
      <c r="E12" s="403">
        <f t="shared" si="0"/>
        <v>26</v>
      </c>
      <c r="F12" s="402">
        <f>IF(ISNUMBER(Datos!N12),Datos!N12," - ")</f>
        <v>21</v>
      </c>
      <c r="G12" s="403">
        <f t="shared" si="1"/>
        <v>21</v>
      </c>
      <c r="H12" s="402">
        <f>IF(ISNUMBER(Datos!O12),Datos!O12," - ")</f>
        <v>38</v>
      </c>
      <c r="I12" s="403">
        <f t="shared" si="2"/>
        <v>38</v>
      </c>
      <c r="BZ12" s="1181">
        <f>Datos!EZ12</f>
        <v>0</v>
      </c>
    </row>
    <row r="13" spans="1:78" ht="14.25" thickTop="1" thickBot="1">
      <c r="A13" s="845" t="str">
        <f>Datos!A13</f>
        <v>TOTAL</v>
      </c>
      <c r="B13" s="846">
        <f>Datos!AP13</f>
        <v>1</v>
      </c>
      <c r="C13" s="848">
        <f>Datos!AR13</f>
        <v>1</v>
      </c>
      <c r="D13" s="846">
        <f>SUBTOTAL(9,D9:D12)</f>
        <v>26</v>
      </c>
      <c r="E13" s="847">
        <f t="shared" si="0"/>
        <v>26</v>
      </c>
      <c r="F13" s="846">
        <f>SUBTOTAL(9,F9:F12)</f>
        <v>21</v>
      </c>
      <c r="G13" s="847">
        <f t="shared" si="1"/>
        <v>21</v>
      </c>
      <c r="H13" s="846">
        <f>SUBTOTAL(9,H9:H12)</f>
        <v>38</v>
      </c>
      <c r="I13" s="847">
        <f>IF(ISNUMBER(H13/B13),H13/B13," - ")</f>
        <v>38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21</v>
      </c>
      <c r="E17" s="403">
        <f t="shared" si="3"/>
        <v>21</v>
      </c>
      <c r="F17" s="402">
        <f>IF(ISNUMBER(Datos!N17),Datos!N17," - ")</f>
        <v>78</v>
      </c>
      <c r="G17" s="403">
        <f t="shared" si="4"/>
        <v>78</v>
      </c>
      <c r="H17" s="402">
        <f>IF(ISNUMBER(Datos!O17),Datos!O17," - ")</f>
        <v>0</v>
      </c>
      <c r="I17" s="403">
        <f t="shared" si="5"/>
        <v>0</v>
      </c>
      <c r="BZ17" s="1181">
        <f>Datos!EZ17</f>
        <v>0</v>
      </c>
    </row>
    <row r="18" spans="1:78" ht="13.5" thickBot="1">
      <c r="A18" s="401" t="str">
        <f>Datos!A18</f>
        <v>Sección De Violencia sobre la Mujer del TI</v>
      </c>
      <c r="B18" s="426">
        <f>Datos!AO18</f>
        <v>0</v>
      </c>
      <c r="C18" s="427">
        <f>Datos!AQ18</f>
        <v>0</v>
      </c>
      <c r="D18" s="402" t="str">
        <f>IF(ISNUMBER(Datos!M18),Datos!M18," - ")</f>
        <v xml:space="preserve"> - </v>
      </c>
      <c r="E18" s="403" t="str">
        <f>IF(ISNUMBER(D18/B18),D18/B18," - ")</f>
        <v xml:space="preserve"> - </v>
      </c>
      <c r="F18" s="402" t="str">
        <f>IF(ISNUMBER(Datos!N18),Datos!N18," - ")</f>
        <v xml:space="preserve"> - </v>
      </c>
      <c r="G18" s="403" t="str">
        <f>IF(ISNUMBER(F18/B18),F18/B18," - ")</f>
        <v xml:space="preserve"> - </v>
      </c>
      <c r="H18" s="402" t="str">
        <f>IF(ISNUMBER(Datos!O18),Datos!O18," - ")</f>
        <v xml:space="preserve"> - </v>
      </c>
      <c r="I18" s="403" t="str">
        <f t="shared" si="5"/>
        <v xml:space="preserve"> - </v>
      </c>
      <c r="BZ18" s="1181">
        <f>Datos!EZ18</f>
        <v>0</v>
      </c>
    </row>
    <row r="19" spans="1:78" ht="14.25" thickTop="1" thickBot="1">
      <c r="A19" s="845" t="str">
        <f>Datos!A19</f>
        <v>TOTAL</v>
      </c>
      <c r="B19" s="846">
        <f>Datos!AP19</f>
        <v>1</v>
      </c>
      <c r="C19" s="848">
        <f>Datos!AR19</f>
        <v>1</v>
      </c>
      <c r="D19" s="846">
        <f>SUBTOTAL(9,D15:D18)</f>
        <v>21</v>
      </c>
      <c r="E19" s="847">
        <f t="shared" si="3"/>
        <v>21</v>
      </c>
      <c r="F19" s="846">
        <f>SUBTOTAL(9,F15:F18)</f>
        <v>78</v>
      </c>
      <c r="G19" s="847">
        <f t="shared" si="4"/>
        <v>78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47</v>
      </c>
      <c r="E20" s="792">
        <f>IF(ISNUMBER(D20/B20),D20/B20," - ")</f>
        <v>47</v>
      </c>
      <c r="F20" s="791">
        <f>SUBTOTAL(9,F8:F19)</f>
        <v>99</v>
      </c>
      <c r="G20" s="792">
        <f>IF(ISNUMBER(F20/B20),F20/B20," - ")</f>
        <v>99</v>
      </c>
      <c r="H20" s="791">
        <f>SUBTOTAL(9,H8:H19)</f>
        <v>38</v>
      </c>
      <c r="I20" s="792">
        <f>IF(ISNUMBER(H20/B20),H20/B20," - ")</f>
        <v>38</v>
      </c>
    </row>
    <row r="23" spans="1:78">
      <c r="A23" s="390" t="str">
        <f>Criterios!A4</f>
        <v>Fecha Informe: 18 jun. 2026</v>
      </c>
    </row>
    <row r="28" spans="1:78">
      <c r="A28" s="413"/>
    </row>
  </sheetData>
  <sheetProtection algorithmName="SHA-512" hashValue="nzy1yjPLEb28qw6yMmpTGuMNmWdeH9KaY29j5HIB5kmhnMLbhGtwZT6PMOb68q4KWmRmlGpPL2Z5+GRzNRkiuQ==" saltValue="o4QaX113xgq0fwbGxke3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LOGROSAN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t="str">
        <f>IF(ISNUMBER(Datos!P10),Datos!P10," - ")</f>
        <v xml:space="preserve"> - </v>
      </c>
      <c r="C10" s="433" t="str">
        <f>IF(ISNUMBER(Datos!Q10),Datos!Q10," - ")</f>
        <v xml:space="preserve"> - </v>
      </c>
      <c r="D10" s="407" t="str">
        <f>IF(ISNUMBER(Datos!R10),Datos!R10," - ")</f>
        <v xml:space="preserve"> - </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31</v>
      </c>
      <c r="C12" s="433">
        <f>IF(ISNUMBER(Datos!Q12),Datos!Q12," - ")</f>
        <v>37</v>
      </c>
      <c r="D12" s="407">
        <f>IF(ISNUMBER(Datos!R12),Datos!R12," - ")</f>
        <v>388</v>
      </c>
    </row>
    <row r="13" spans="1:4" ht="14.25" thickTop="1" thickBot="1">
      <c r="A13" s="845" t="str">
        <f>Datos!A13</f>
        <v>TOTAL</v>
      </c>
      <c r="B13" s="846">
        <f>SUBTOTAL(9,B9:B12)</f>
        <v>31</v>
      </c>
      <c r="C13" s="850">
        <f>SUBTOTAL(9,C9:C12)</f>
        <v>37</v>
      </c>
      <c r="D13" s="848">
        <f>SUBTOTAL(9,D9:D12)</f>
        <v>388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8</v>
      </c>
      <c r="D17" s="407">
        <f>IF(ISNUMBER(Datos!R17),Datos!R17," - ")</f>
        <v>15</v>
      </c>
    </row>
    <row r="18" spans="1:4" ht="13.5" thickBot="1">
      <c r="A18" s="401" t="str">
        <f>Datos!A18</f>
        <v>Sección De Violencia sobre la Mujer del TI</v>
      </c>
      <c r="B18" s="432" t="str">
        <f>IF(ISNUMBER(Datos!P18),Datos!P18," - ")</f>
        <v xml:space="preserve"> - </v>
      </c>
      <c r="C18" s="433" t="str">
        <f>IF(ISNUMBER(Datos!Q18),Datos!Q18," - ")</f>
        <v xml:space="preserve"> - </v>
      </c>
      <c r="D18" s="407" t="str">
        <f>IF(ISNUMBER(Datos!R18),Datos!R18," - ")</f>
        <v xml:space="preserve"> - </v>
      </c>
    </row>
    <row r="19" spans="1:4" ht="14.25" thickTop="1" thickBot="1">
      <c r="A19" s="845" t="str">
        <f>Datos!A19</f>
        <v>TOTAL</v>
      </c>
      <c r="B19" s="846">
        <f>SUBTOTAL(9,B15:B18)</f>
        <v>4</v>
      </c>
      <c r="C19" s="850">
        <f>SUBTOTAL(9,C15:C18)</f>
        <v>8</v>
      </c>
      <c r="D19" s="848">
        <f>SUBTOTAL(9,D15:D18)</f>
        <v>15</v>
      </c>
    </row>
    <row r="20" spans="1:4" ht="16.5" customHeight="1" thickTop="1" thickBot="1">
      <c r="A20" s="790" t="str">
        <f>Datos!A20</f>
        <v>TOTAL JURISDICCIONES</v>
      </c>
      <c r="B20" s="795">
        <f>SUBTOTAL(9,B8:B19)</f>
        <v>35</v>
      </c>
      <c r="C20" s="796">
        <f>SUBTOTAL(9,C8:C19)</f>
        <v>45</v>
      </c>
      <c r="D20" s="797">
        <f>SUBTOTAL(9,D8:D19)</f>
        <v>403</v>
      </c>
    </row>
    <row r="21" spans="1:4" ht="7.5" customHeight="1"/>
    <row r="22" spans="1:4" ht="6" customHeight="1"/>
    <row r="23" spans="1:4">
      <c r="A23" s="390" t="str">
        <f>Criterios!A4</f>
        <v>Fecha Informe: 18 jun. 2026</v>
      </c>
    </row>
    <row r="28" spans="1:4">
      <c r="A28" s="413"/>
    </row>
  </sheetData>
  <sheetProtection algorithmName="SHA-512" hashValue="CG8e1QZsK4Jkq0U8ETjiW0SMe4/SVgzM+KxGYjqL3977k8zE2xUBILadmm/jhvyjoylmmn3vyYvUrxuXlFJRFw==" saltValue="HoJrq2XUYGrxeuMpYd0i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LOGROSAN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-0.20521172638436483</v>
      </c>
      <c r="C12" s="455">
        <f>IF(ISNUMBER(
   IF(J_V="SI",(Datos!J12-Datos!T12)/Datos!T12,(Datos!J12+Datos!Z12-(Datos!T12+Datos!AH12))/(Datos!T12+Datos!AH12))
     ),IF(J_V="SI",(Datos!J12-Datos!T12)/Datos!T12,(Datos!J12+Datos!Z12-(Datos!T12+Datos!AH12))/(Datos!T12+Datos!AH12))," - ")</f>
        <v>-0.4642857142857143</v>
      </c>
      <c r="D12" s="455">
        <f>IF(ISNUMBER(
   IF(J_V="SI",(Datos!K12-Datos!U12)/Datos!U12,(Datos!K12+Datos!AA12-(Datos!U12+Datos!AI12))/(Datos!U12+Datos!AI12))
     ),IF(J_V="SI",(Datos!K12-Datos!U12)/Datos!U12,(Datos!K12+Datos!AA12-(Datos!U12+Datos!AI12))/(Datos!U12+Datos!AI12))," - ")</f>
        <v>-0.46938775510204084</v>
      </c>
      <c r="E12" s="455">
        <f>IF(ISNUMBER(
   IF(J_V="SI",(Datos!L12-Datos!V12)/Datos!V12,(Datos!L12+Datos!AB12-(Datos!V12+Datos!AJ12))/(Datos!V12+Datos!AJ12))
     ),IF(J_V="SI",(Datos!L12-Datos!V12)/Datos!V12,(Datos!L12+Datos!AB12-(Datos!V12+Datos!AJ12))/(Datos!V12+Datos!AJ12))," - ")</f>
        <v>-0.23876404494382023</v>
      </c>
      <c r="F12" s="455">
        <f>IF(ISNUMBER((Datos!M12-Datos!W12)/Datos!W12),(Datos!M12-Datos!W12)/Datos!W12," - ")</f>
        <v>-0.67500000000000004</v>
      </c>
      <c r="G12" s="456">
        <f>IF(ISNUMBER((Datos!N12-Datos!X12)/Datos!X12),(Datos!N12-Datos!X12)/Datos!X12," - ")</f>
        <v>-0.125</v>
      </c>
      <c r="H12" s="454">
        <f>IF(ISNUMBER(((NºAsuntos!G12/NºAsuntos!E12)-Datos!BD12)/Datos!BD12),((NºAsuntos!G12/NºAsuntos!E12)-Datos!BD12)/Datos!BD12," - ")</f>
        <v>-9.52380952380949E-3</v>
      </c>
      <c r="I12" s="455">
        <f>IF(ISNUMBER(((NºAsuntos!I12/NºAsuntos!G12)-Datos!BE12)/Datos!BE12),((NºAsuntos!I12/NºAsuntos!G12)-Datos!BE12)/Datos!BE12," - ")</f>
        <v>0.4346369922212619</v>
      </c>
      <c r="J12" s="460">
        <f>IF(ISNUMBER((('Resol  Asuntos'!D12/NºAsuntos!G12)-Datos!BF12)/Datos!BF12),(('Resol  Asuntos'!D12/NºAsuntos!G12)-Datos!BF12)/Datos!BF12," - ")</f>
        <v>1.0416666666666667</v>
      </c>
      <c r="K12" s="461">
        <f>IF(ISNUMBER((((NºAsuntos!C12+NºAsuntos!E12)/NºAsuntos!G12)-Datos!BG12)/Datos!BG12),(((NºAsuntos!C12+NºAsuntos!E12)/NºAsuntos!G12)-Datos!BG12)/Datos!BG12," - ")</f>
        <v>0.30761584340113168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-0.20521172638436483</v>
      </c>
      <c r="C13" s="852">
        <f>IF(ISNUMBER(
   IF(J_V="SI",(Datos!J13-Datos!T13)/Datos!T13,(Datos!J13+Datos!Z13-(Datos!T13+Datos!AH13))/(Datos!T13+Datos!AH13))
     ),IF(J_V="SI",(Datos!J13-Datos!T13)/Datos!T13,(Datos!J13+Datos!Z13-(Datos!T13+Datos!AH13))/(Datos!T13+Datos!AH13))," - ")</f>
        <v>-0.4642857142857143</v>
      </c>
      <c r="D13" s="852">
        <f>IF(ISNUMBER(
   IF(J_V="SI",(Datos!K13-Datos!U13)/Datos!U13,(Datos!K13+Datos!AA13-(Datos!U13+Datos!AI13))/(Datos!U13+Datos!AI13))
     ),IF(J_V="SI",(Datos!K13-Datos!U13)/Datos!U13,(Datos!K13+Datos!AA13-(Datos!U13+Datos!AI13))/(Datos!U13+Datos!AI13))," - ")</f>
        <v>-0.46938775510204084</v>
      </c>
      <c r="E13" s="852">
        <f>IF(ISNUMBER(
   IF(J_V="SI",(Datos!L13-Datos!V13)/Datos!V13,(Datos!L13+Datos!AB13-(Datos!V13+Datos!AJ13))/(Datos!V13+Datos!AJ13))
     ),IF(J_V="SI",(Datos!L13-Datos!V13)/Datos!V13,(Datos!L13+Datos!AB13-(Datos!V13+Datos!AJ13))/(Datos!V13+Datos!AJ13))," - ")</f>
        <v>-0.23876404494382023</v>
      </c>
      <c r="F13" s="853">
        <f>IF(ISNUMBER((Datos!M13-Datos!W13)/Datos!W13),(Datos!M13-Datos!W13)/Datos!W13," - ")</f>
        <v>-0.67500000000000004</v>
      </c>
      <c r="G13" s="854">
        <f>IF(ISNUMBER((Datos!N13-Datos!X13)/Datos!X13),(Datos!N13-Datos!X13)/Datos!X13," - ")</f>
        <v>-0.125</v>
      </c>
      <c r="H13" s="854">
        <f>IF(ISNUMBER(((NºAsuntos!G13/NºAsuntos!E13)-Datos!BD13)/Datos!BD13),((NºAsuntos!G13/NºAsuntos!E13)-Datos!BD13)/Datos!BD13," - ")</f>
        <v>-9.52380952380949E-3</v>
      </c>
      <c r="I13" s="854">
        <f>IF(ISNUMBER(((NºAsuntos!I13/NºAsuntos!G13)-Datos!BE13)/Datos!BE13),((NºAsuntos!I13/NºAsuntos!G13)-Datos!BE13)/Datos!BE13," - ")</f>
        <v>0.4346369922212619</v>
      </c>
      <c r="J13" s="854">
        <f>IF(ISNUMBER((('Resol  Asuntos'!D13/NºAsuntos!G13)-Datos!BF13)/Datos!BF13),(('Resol  Asuntos'!D13/NºAsuntos!G13)-Datos!BF13)/Datos!BF13," - ")</f>
        <v>1.0416666666666667</v>
      </c>
      <c r="K13" s="854">
        <f>IF(ISNUMBER((((NºAsuntos!C13+NºAsuntos!E13)/NºAsuntos!G13)-Datos!BG13)/Datos!BG13),(((NºAsuntos!C13+NºAsuntos!E13)/NºAsuntos!G13)-Datos!BG13)/Datos!BG13," - ")</f>
        <v>0.30761584340113168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-0.36065573770491804</v>
      </c>
      <c r="C17" s="455">
        <f>IF(ISNUMBER(
   IF(D_I="SI",(Datos!J17-Datos!T17)/Datos!T17,(Datos!J17+Datos!AD17-(Datos!T17+Datos!AL17))/(Datos!T17+Datos!AL17))
     ),IF(D_I="SI",(Datos!J17-Datos!T17)/Datos!T17,(Datos!J17+Datos!AD17-(Datos!T17+Datos!AL17))/(Datos!T17+Datos!AL17))," - ")</f>
        <v>7.2072072072072071E-2</v>
      </c>
      <c r="D17" s="455">
        <f>IF(ISNUMBER(
   IF(D_I="SI",(Datos!K17-Datos!U17)/Datos!U17,(Datos!K17+Datos!AE17-(Datos!U17+Datos!AM17))/(Datos!U17+Datos!AM17))
     ),IF(D_I="SI",(Datos!K17-Datos!U17)/Datos!U17,(Datos!K17+Datos!AE17-(Datos!U17+Datos!AM17))/(Datos!U17+Datos!AM17))," - ")</f>
        <v>0.12380952380952381</v>
      </c>
      <c r="E17" s="455">
        <f>IF(ISNUMBER(
   IF(D_I="SI",(Datos!L17-Datos!V17)/Datos!V17,(Datos!L17+Datos!AF17-(Datos!V17+Datos!AN17))/(Datos!V17+Datos!AN17))
     ),IF(D_I="SI",(Datos!L17-Datos!V17)/Datos!V17,(Datos!L17+Datos!AF17-(Datos!V17+Datos!AN17))/(Datos!V17+Datos!AN17))," - ")</f>
        <v>-0.37566137566137564</v>
      </c>
      <c r="F17" s="455">
        <f>IF(ISNUMBER((Datos!M17-Datos!W17)/Datos!W17),(Datos!M17-Datos!W17)/Datos!W17," - ")</f>
        <v>0.3125</v>
      </c>
      <c r="G17" s="456">
        <f>IF(ISNUMBER((Datos!N17-Datos!X17)/Datos!X17),(Datos!N17-Datos!X17)/Datos!X17," - ")</f>
        <v>0.21875</v>
      </c>
      <c r="H17" s="454">
        <f>IF(ISNUMBER(((NºAsuntos!G17/NºAsuntos!E17)-Datos!BD17)/Datos!BD17),((NºAsuntos!G17/NºAsuntos!E17)-Datos!BD17)/Datos!BD17," - ")</f>
        <v>4.8259303721488629E-2</v>
      </c>
      <c r="I17" s="455">
        <f>IF(ISNUMBER(((NºAsuntos!I17/NºAsuntos!G17)-Datos!BE17)/Datos!BE17),((NºAsuntos!I17/NºAsuntos!G17)-Datos!BE17)/Datos!BE17," - ")</f>
        <v>-0.44444444444444448</v>
      </c>
      <c r="J17" s="460">
        <f>IF(ISNUMBER((('Resol  Asuntos'!D17/NºAsuntos!G17)-Datos!BF17)/Datos!BF17),(('Resol  Asuntos'!D17/NºAsuntos!G17)-Datos!BF17)/Datos!BF17," - ")</f>
        <v>0.16790254237288124</v>
      </c>
      <c r="K17" s="461">
        <f>IF(ISNUMBER((((NºAsuntos!C17+NºAsuntos!E17)/NºAsuntos!G17)-Datos!BG17)/Datos!BG17),(((NºAsuntos!C17+NºAsuntos!E17)/NºAsuntos!G17)-Datos!BG17)/Datos!BG17," - ")</f>
        <v>-0.28571428571428564</v>
      </c>
    </row>
    <row r="18" spans="1:12" ht="21.75" thickBot="1">
      <c r="A18" s="401" t="str">
        <f>Datos!A18</f>
        <v>Sección De Violencia sobre la Mujer del TI</v>
      </c>
      <c r="B18" s="454" t="str">
        <f>IF(ISNUMBER(
   IF(D_I="SI",(Datos!I18-Datos!S18)/Datos!S18,(Datos!I18+Datos!AC18-(Datos!S18+Datos!AK18))/(Datos!S18+Datos!AK18))
     ),IF(D_I="SI",(Datos!I18-Datos!S18)/Datos!S18,(Datos!I18+Datos!AC18-(Datos!S18+Datos!AK18))/(Datos!S18+Datos!AK18))," - ")</f>
        <v xml:space="preserve"> - </v>
      </c>
      <c r="C18" s="455" t="str">
        <f>IF(ISNUMBER(
   IF(D_I="SI",(Datos!J18-Datos!T18)/Datos!T18,(Datos!J18+Datos!AD18-(Datos!T18+Datos!AL18))/(Datos!T18+Datos!AL18))
     ),IF(D_I="SI",(Datos!J18-Datos!T18)/Datos!T18,(Datos!J18+Datos!AD18-(Datos!T18+Datos!AL18))/(Datos!T18+Datos!AL18))," - ")</f>
        <v xml:space="preserve"> - </v>
      </c>
      <c r="D18" s="455" t="str">
        <f>IF(ISNUMBER(
   IF(D_I="SI",(Datos!K18-Datos!U18)/Datos!U18,(Datos!K18+Datos!AE18-(Datos!U18+Datos!AM18))/(Datos!U18+Datos!AM18))
     ),IF(D_I="SI",(Datos!K18-Datos!U18)/Datos!U18,(Datos!K18+Datos!AE18-(Datos!U18+Datos!AM18))/(Datos!U18+Datos!AM18))," - ")</f>
        <v xml:space="preserve"> - </v>
      </c>
      <c r="E18" s="455" t="str">
        <f>IF(ISNUMBER(
   IF(D_I="SI",(Datos!L18-Datos!V18)/Datos!V18,(Datos!L18+Datos!AF18-(Datos!V18+Datos!AN18))/(Datos!V18+Datos!AN18))
     ),IF(D_I="SI",(Datos!L18-Datos!V18)/Datos!V18,(Datos!L18+Datos!AF18-(Datos!V18+Datos!AN18))/(Datos!V18+Datos!AN18))," - ")</f>
        <v xml:space="preserve"> - </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-0.36065573770491804</v>
      </c>
      <c r="C19" s="852">
        <f>IF(ISNUMBER(
   IF(Criterios!B14="SI",(Datos!J19-Datos!T19)/Datos!T19,(Datos!J19+Datos!AD19-(Datos!T19+Datos!AL19))/(Datos!T19+Datos!AL19))
     ),IF(Criterios!B14="SI",(Datos!J19-Datos!T19)/Datos!T19,(Datos!J19+Datos!AD19-(Datos!T19+Datos!AL19))/(Datos!T19+Datos!AL19))," - ")</f>
        <v>7.2072072072072071E-2</v>
      </c>
      <c r="D19" s="852">
        <f>IF(ISNUMBER(
   IF(Criterios!B14="SI",(Datos!K19-Datos!U19)/Datos!U19,(Datos!K19+Datos!AE19-(Datos!U19+Datos!AM19))/(Datos!U19+Datos!AM19))
     ),IF(Criterios!B14="SI",(Datos!K19-Datos!U19)/Datos!U19,(Datos!K19+Datos!AE19-(Datos!U19+Datos!AM19))/(Datos!U19+Datos!AM19))," - ")</f>
        <v>0.12380952380952381</v>
      </c>
      <c r="E19" s="852">
        <f>IF(ISNUMBER(
   IF(Criterios!B14="SI",(Datos!L19-Datos!V19)/Datos!V19,(Datos!L19+Datos!AF19-(Datos!V19+Datos!AN19))/(Datos!V19+Datos!AN19))
     ),IF(Criterios!B14="SI",(Datos!L19-Datos!V19)/Datos!V19,(Datos!L19+Datos!AF19-(Datos!V19+Datos!AN19))/(Datos!V19+Datos!AN19))," - ")</f>
        <v>-0.37566137566137564</v>
      </c>
      <c r="F19" s="853">
        <f>IF(ISNUMBER((Datos!M19-Datos!W19)/Datos!W19),(Datos!M19-Datos!W19)/Datos!W19," - ")</f>
        <v>0.3125</v>
      </c>
      <c r="G19" s="854">
        <f>IF(ISNUMBER((Datos!N19-Datos!X19)/Datos!X19),(Datos!N19-Datos!X19)/Datos!X19," - ")</f>
        <v>0.21875</v>
      </c>
      <c r="H19" s="854">
        <f>IF(ISNUMBER(((NºAsuntos!G19/NºAsuntos!E19)-Datos!BD19)/Datos!BD19),((NºAsuntos!G19/NºAsuntos!E19)-Datos!BD19)/Datos!BD19," - ")</f>
        <v>4.8259303721488629E-2</v>
      </c>
      <c r="I19" s="854">
        <f>IF(ISNUMBER(((NºAsuntos!I19/NºAsuntos!G19)-Datos!BE19)/Datos!BE19),((NºAsuntos!I19/NºAsuntos!G19)-Datos!BE19)/Datos!BE19," - ")</f>
        <v>-0.44444444444444448</v>
      </c>
      <c r="J19" s="854">
        <f>IF(ISNUMBER((('Resol  Asuntos'!D19/NºAsuntos!G19)-Datos!BF19)/Datos!BF19),(('Resol  Asuntos'!D19/NºAsuntos!G19)-Datos!BF19)/Datos!BF19," - ")</f>
        <v>0.16790254237288124</v>
      </c>
      <c r="K19" s="854">
        <f>IF(ISNUMBER((((NºAsuntos!C19+NºAsuntos!E19)/NºAsuntos!G19)-Datos!BG19)/Datos!BG19),(((NºAsuntos!C19+NºAsuntos!E19)/NºAsuntos!G19)-Datos!BG19)/Datos!BG19," - ")</f>
        <v>-0.28571428571428564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-0.26326530612244897</v>
      </c>
      <c r="C20" s="799">
        <f>IF(ISNUMBER(
   IF(J_V="SI",(Datos!J20-Datos!T20)/Datos!T20,(Datos!J20+Datos!Z20-(Datos!T20+Datos!AH20))/(Datos!T20+Datos!AH20))
     ),IF(J_V="SI",(Datos!J20-Datos!T20)/Datos!T20,(Datos!J20+Datos!Z20-(Datos!T20+Datos!AH20))/(Datos!T20+Datos!AH20))," - ")</f>
        <v>-0.27035830618892509</v>
      </c>
      <c r="D20" s="799">
        <f>IF(ISNUMBER(
   IF(J_V="SI",(Datos!K20-Datos!U20)/Datos!U20,(Datos!K20+Datos!AA20-(Datos!U20+Datos!AI20))/(Datos!U20+Datos!AI20))
     ),IF(J_V="SI",(Datos!K20-Datos!U20)/Datos!U20,(Datos!K20+Datos!AA20-(Datos!U20+Datos!AI20))/(Datos!U20+Datos!AI20))," - ")</f>
        <v>-0.22222222222222221</v>
      </c>
      <c r="E20" s="799">
        <f>IF(ISNUMBER(
   IF(J_V="SI",(Datos!L20-Datos!V20)/Datos!V20,(Datos!L20+Datos!AB20-(Datos!V20+Datos!AJ20))/(Datos!V20+Datos!AJ20))
     ),IF(J_V="SI",(Datos!L20-Datos!V20)/Datos!V20,(Datos!L20+Datos!AB20-(Datos!V20+Datos!AJ20))/(Datos!V20+Datos!AJ20))," - ")</f>
        <v>-0.28623853211009176</v>
      </c>
      <c r="F20" s="800">
        <f>IF(ISNUMBER((Datos!M20-Datos!W20)/Datos!W20),(Datos!M20-Datos!W20)/Datos!W20," - ")</f>
        <v>-0.51041666666666663</v>
      </c>
      <c r="G20" s="801">
        <f>IF(ISNUMBER((Datos!N20-Datos!X20)/Datos!X20),(Datos!N20-Datos!X20)/Datos!X20," - ")</f>
        <v>0.125</v>
      </c>
      <c r="H20" s="802">
        <f>IF(ISNUMBER((Tasas!B20-Datos!BD20)/Datos!BD20),(Tasas!B20-Datos!BD20)/Datos!BD20," - ")</f>
        <v>6.5972222222222182E-2</v>
      </c>
      <c r="I20" s="803">
        <f>IF(ISNUMBER((Tasas!C20-Datos!BE20)/Datos!BE20),(Tasas!C20-Datos!BE20)/Datos!BE20," - ")</f>
        <v>-8.2306684141546502E-2</v>
      </c>
      <c r="J20" s="804">
        <f>IF(ISNUMBER((Tasas!D20-Datos!BF20)/Datos!BF20),(Tasas!D20-Datos!BF20)/Datos!BF20," - ")</f>
        <v>0.51071428571428568</v>
      </c>
      <c r="K20" s="804">
        <f>IF(ISNUMBER((Tasas!E20-Datos!BG20)/Datos!BG20),(Tasas!E20-Datos!BG20)/Datos!BG20," - ")</f>
        <v>-5.6282487901057519E-2</v>
      </c>
    </row>
    <row r="21" spans="1:12">
      <c r="A21" s="410"/>
      <c r="B21" s="410"/>
      <c r="C21" s="410"/>
      <c r="D21" s="410"/>
      <c r="E21" s="410"/>
    </row>
    <row r="22" spans="1:12" ht="70.5" customHeight="1">
      <c r="A22" s="1507" t="s">
        <v>154</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1GfPSwcz5NIfeu9WGvADA59RF1VKg4+0Ky2TdwHhaWNEW+rQXbkCEIkox9XE0msuz4H0ukuNjQlEPZxHDWl/Q==" saltValue="yVdBHRAouKCiKe6hyIVid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LOGROSAN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0.74285714285714288</v>
      </c>
      <c r="C12" s="442">
        <f>IF(ISNUMBER(NºAsuntos!I12/NºAsuntos!G12),NºAsuntos!I12/NºAsuntos!G12," - ")</f>
        <v>3.4743589743589745</v>
      </c>
      <c r="D12" s="443">
        <f>IF(ISNUMBER('Resol  Asuntos'!D12/NºAsuntos!G12),'Resol  Asuntos'!D12/NºAsuntos!G12," - ")</f>
        <v>0.33333333333333331</v>
      </c>
      <c r="E12" s="444">
        <f>IF(ISNUMBER((NºAsuntos!C12+NºAsuntos!E12)/NºAsuntos!G12),(NºAsuntos!C12+NºAsuntos!E12)/NºAsuntos!G12," - ")</f>
        <v>4.4743589743589745</v>
      </c>
      <c r="G12" s="462"/>
    </row>
    <row r="13" spans="1:7" ht="14.25" thickTop="1" thickBot="1">
      <c r="A13" s="845" t="str">
        <f>Datos!A13</f>
        <v>TOTAL</v>
      </c>
      <c r="B13" s="855">
        <f>IF(ISNUMBER(NºAsuntos!G13/NºAsuntos!E13),NºAsuntos!G13/NºAsuntos!E13," - ")</f>
        <v>0.74285714285714288</v>
      </c>
      <c r="C13" s="856">
        <f>IF(ISNUMBER(NºAsuntos!I13/NºAsuntos!G13),NºAsuntos!I13/NºAsuntos!G13," - ")</f>
        <v>3.4743589743589745</v>
      </c>
      <c r="D13" s="857">
        <f>IF(ISNUMBER('Resol  Asuntos'!D13/NºAsuntos!G13),'Resol  Asuntos'!D13/NºAsuntos!G13," - ")</f>
        <v>0.33333333333333331</v>
      </c>
      <c r="E13" s="858">
        <f>IF(ISNUMBER((NºAsuntos!C13+NºAsuntos!E13)/NºAsuntos!G13),(NºAsuntos!C13+NºAsuntos!E13)/NºAsuntos!G13," - ")</f>
        <v>4.4743589743589745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0.99159663865546221</v>
      </c>
      <c r="C17" s="442">
        <f>IF(ISNUMBER(NºAsuntos!I17/NºAsuntos!G17),NºAsuntos!I17/NºAsuntos!G17," - ")</f>
        <v>1</v>
      </c>
      <c r="D17" s="443">
        <f>IF(ISNUMBER('Resol  Asuntos'!D17/NºAsuntos!G17),'Resol  Asuntos'!D17/NºAsuntos!G17," - ")</f>
        <v>0.17796610169491525</v>
      </c>
      <c r="E17" s="444">
        <f>IF(ISNUMBER((NºAsuntos!C17+NºAsuntos!E17)/NºAsuntos!G17),(NºAsuntos!C17+NºAsuntos!E17)/NºAsuntos!G17," - ")</f>
        <v>2</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0.99159663865546221</v>
      </c>
      <c r="C19" s="856">
        <f>IF(ISNUMBER(NºAsuntos!I19/NºAsuntos!G19),NºAsuntos!I19/NºAsuntos!G19," - ")</f>
        <v>1</v>
      </c>
      <c r="D19" s="859">
        <f>IF(ISNUMBER('Resol  Asuntos'!D19/NºAsuntos!G19),'Resol  Asuntos'!D19/NºAsuntos!G19," - ")</f>
        <v>0.17796610169491525</v>
      </c>
      <c r="E19" s="858">
        <f>IF(ISNUMBER((NºAsuntos!C19+NºAsuntos!E19)/NºAsuntos!G19),(NºAsuntos!C19+NºAsuntos!E19)/NºAsuntos!G19," - ")</f>
        <v>2</v>
      </c>
      <c r="G19" s="462"/>
    </row>
    <row r="20" spans="1:7" ht="15.75" customHeight="1" thickTop="1" thickBot="1">
      <c r="A20" s="790" t="str">
        <f>Datos!A20</f>
        <v>TOTAL JURISDICCIONES</v>
      </c>
      <c r="B20" s="805">
        <f>IF(ISNUMBER(NºAsuntos!G20/NºAsuntos!E20),NºAsuntos!G20/NºAsuntos!E20," - ")</f>
        <v>0.875</v>
      </c>
      <c r="C20" s="806">
        <f>IF(ISNUMBER(NºAsuntos!I20/NºAsuntos!G20),NºAsuntos!I20/NºAsuntos!G20," - ")</f>
        <v>1.9846938775510203</v>
      </c>
      <c r="D20" s="807">
        <f>IF(ISNUMBER('Resol  Asuntos'!D20/NºAsuntos!G20),'Resol  Asuntos'!D20/NºAsuntos!G20," - ")</f>
        <v>0.23979591836734693</v>
      </c>
      <c r="E20" s="808">
        <f>IF(ISNUMBER((NºAsuntos!C20+NºAsuntos!E20)/NºAsuntos!G20),(NºAsuntos!C20+NºAsuntos!E20)/NºAsuntos!G20," - ")</f>
        <v>2.9846938775510203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eLPrlfvghbE1gcUU5dPTkIKzYYJGn+qxnaGcf6ihzQjd3cW4vH79WsnNKtHNzUtlo3A7qONalNEm/ghRsH2og==" saltValue="VHkvDl9YQZgwISf1TwEjB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LOGROSAN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353</v>
      </c>
      <c r="B5" s="271"/>
      <c r="C5" s="1545" t="str">
        <f>"Año:  " &amp;Criterios!B$5 &amp; "          Trimestre   " &amp;Criterios!D$5 &amp; " al " &amp;Criterios!D$6</f>
        <v>Año:  2026          Trimestre   1 al 1</v>
      </c>
      <c r="D5" s="1524" t="s">
        <v>378</v>
      </c>
      <c r="E5" s="1524" t="s">
        <v>320</v>
      </c>
      <c r="F5" s="1547" t="s">
        <v>408</v>
      </c>
      <c r="G5" s="1550" t="s">
        <v>130</v>
      </c>
      <c r="H5" s="1530" t="s">
        <v>162</v>
      </c>
      <c r="I5" s="1530" t="s">
        <v>166</v>
      </c>
      <c r="J5" s="1530" t="s">
        <v>167</v>
      </c>
      <c r="K5" s="1530" t="s">
        <v>409</v>
      </c>
      <c r="L5" s="1530" t="s">
        <v>580</v>
      </c>
      <c r="M5" s="1530" t="s">
        <v>324</v>
      </c>
      <c r="N5" s="1530" t="s">
        <v>379</v>
      </c>
      <c r="O5" s="1530" t="s">
        <v>411</v>
      </c>
      <c r="P5" s="1530" t="s">
        <v>165</v>
      </c>
      <c r="Q5" s="1530" t="s">
        <v>41</v>
      </c>
      <c r="R5" s="1556" t="s">
        <v>168</v>
      </c>
      <c r="S5" s="1559" t="s">
        <v>171</v>
      </c>
      <c r="T5" s="1577" t="s">
        <v>172</v>
      </c>
      <c r="U5" s="1574" t="s">
        <v>173</v>
      </c>
      <c r="V5" s="1568" t="s">
        <v>322</v>
      </c>
      <c r="W5" s="1533" t="s">
        <v>174</v>
      </c>
      <c r="X5" s="1536" t="s">
        <v>175</v>
      </c>
      <c r="Y5" s="1536" t="s">
        <v>176</v>
      </c>
      <c r="Z5" s="1571" t="s">
        <v>177</v>
      </c>
      <c r="AA5" s="1527" t="s">
        <v>178</v>
      </c>
      <c r="AB5" s="1530" t="s">
        <v>179</v>
      </c>
      <c r="AC5" s="1530" t="s">
        <v>180</v>
      </c>
      <c r="AD5" s="1539" t="s">
        <v>181</v>
      </c>
      <c r="AE5" s="1524" t="s">
        <v>184</v>
      </c>
      <c r="AF5" s="1562" t="s">
        <v>182</v>
      </c>
      <c r="AG5" s="1530" t="s">
        <v>183</v>
      </c>
      <c r="AH5" s="1556" t="s">
        <v>202</v>
      </c>
      <c r="AI5" s="1527" t="s">
        <v>185</v>
      </c>
      <c r="AJ5" s="1565" t="s">
        <v>249</v>
      </c>
      <c r="AK5" s="1553" t="s">
        <v>250</v>
      </c>
      <c r="AL5" s="1524" t="s">
        <v>251</v>
      </c>
      <c r="AM5" s="1524" t="s">
        <v>361</v>
      </c>
      <c r="AN5" s="1524" t="s">
        <v>252</v>
      </c>
      <c r="AO5" s="1524" t="s">
        <v>253</v>
      </c>
      <c r="AP5" s="1524" t="s">
        <v>303</v>
      </c>
      <c r="AQ5" s="1524" t="s">
        <v>186</v>
      </c>
      <c r="AR5" s="1524" t="s">
        <v>187</v>
      </c>
      <c r="AS5" s="1524" t="s">
        <v>390</v>
      </c>
      <c r="AT5" s="1524" t="s">
        <v>296</v>
      </c>
      <c r="AU5" s="1524" t="s">
        <v>297</v>
      </c>
      <c r="AV5" s="1524" t="s">
        <v>335</v>
      </c>
      <c r="AW5" s="1524" t="s">
        <v>796</v>
      </c>
      <c r="AX5" s="1524" t="s">
        <v>323</v>
      </c>
      <c r="AY5" s="1524" t="s">
        <v>740</v>
      </c>
      <c r="AZ5" s="1524" t="s">
        <v>741</v>
      </c>
      <c r="BF5" s="1582" t="s">
        <v>203</v>
      </c>
      <c r="BG5" s="1583"/>
      <c r="BH5" s="1582" t="s">
        <v>204</v>
      </c>
      <c r="BI5" s="1583"/>
      <c r="BJ5" s="1582" t="s">
        <v>205</v>
      </c>
      <c r="BK5" s="1583"/>
      <c r="BL5" s="1582" t="s">
        <v>206</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163</v>
      </c>
      <c r="BG6" s="1580" t="s">
        <v>164</v>
      </c>
      <c r="BH6" s="1580" t="s">
        <v>163</v>
      </c>
      <c r="BI6" s="1580" t="s">
        <v>164</v>
      </c>
      <c r="BJ6" s="1580" t="s">
        <v>163</v>
      </c>
      <c r="BK6" s="1580" t="s">
        <v>164</v>
      </c>
      <c r="BL6" s="1580" t="s">
        <v>163</v>
      </c>
      <c r="BM6" s="1580" t="s">
        <v>164</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248</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248</v>
      </c>
      <c r="C10" s="7" t="str">
        <f>Datos!A10</f>
        <v>Sección De Violencia sobre la Mujer del TI</v>
      </c>
      <c r="D10" s="7"/>
      <c r="E10" s="1020">
        <f>IF(ISNUMBER(Datos!AQ10),Datos!AQ10," - ")</f>
        <v>0</v>
      </c>
      <c r="F10" s="224" t="str">
        <f>IF(ISNUMBER(Datos!L10+Datos!K10-Datos!J10-K10),Datos!L10+Datos!K10-Datos!J10-K10," - ")</f>
        <v xml:space="preserve"> - </v>
      </c>
      <c r="G10" s="332" t="str">
        <f>IF(ISNUMBER(Datos!I10),Datos!I10," - ")</f>
        <v xml:space="preserve"> - </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t="str">
        <f>IF(ISNUMBER(Datos!K10),Datos!K10," - ")</f>
        <v xml:space="preserve"> - </v>
      </c>
      <c r="X10" s="225" t="str">
        <f>IF(ISNUMBER(Datos!Q10),Datos!Q10," - ")</f>
        <v xml:space="preserve"> - </v>
      </c>
      <c r="Y10" s="333">
        <f t="shared" ref="Y10:Y12" si="0">SUM(W10:X10)</f>
        <v>0</v>
      </c>
      <c r="Z10" s="334" t="str">
        <f>IF(ISNUMBER(Datos!CC10),Datos!CC10," - ")</f>
        <v xml:space="preserve"> - </v>
      </c>
      <c r="AA10" s="331" t="str">
        <f>IF(ISNUMBER(Datos!L10),Datos!L10,"-")</f>
        <v>-</v>
      </c>
      <c r="AB10" s="333" t="str">
        <f>IF(ISNUMBER(Datos!R10),Datos!R10," - ")</f>
        <v xml:space="preserve"> - </v>
      </c>
      <c r="AC10" s="333" t="str">
        <f t="shared" ref="AC10:AC12" si="1">IF(ISNUMBER(AA10+AB10),AA10+AB10," - ")</f>
        <v xml:space="preserve"> - </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t="str">
        <f>IF(ISNUMBER(Datos!M10),Datos!M10," - ")</f>
        <v xml:space="preserve"> - </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248</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248</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0.74285714285714288</v>
      </c>
      <c r="AM12" s="259">
        <f>IF(ISNUMBER(((NºAsuntos!I12/NºAsuntos!G12)*11)/factor_trimestre),((NºAsuntos!I12/NºAsuntos!G12)*11)/factor_trimestre," - ")</f>
        <v>10.423076923076923</v>
      </c>
      <c r="AN12" s="243">
        <f>IF(ISNUMBER('Resol  Asuntos'!D12/NºAsuntos!G12),'Resol  Asuntos'!D12/NºAsuntos!G12," - ")</f>
        <v>0.33333333333333331</v>
      </c>
      <c r="AO12" s="244">
        <f>IF(ISNUMBER((NºAsuntos!C12+NºAsuntos!E12)/NºAsuntos!G12),(NºAsuntos!C12+NºAsuntos!E12)/NºAsuntos!G12," - ")</f>
        <v>4.4743589743589745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37</v>
      </c>
      <c r="Y13" s="865">
        <f t="shared" si="4"/>
        <v>37</v>
      </c>
      <c r="Z13" s="865">
        <f t="shared" si="4"/>
        <v>0</v>
      </c>
      <c r="AA13" s="865">
        <f t="shared" si="4"/>
        <v>0</v>
      </c>
      <c r="AB13" s="865">
        <f t="shared" si="4"/>
        <v>388</v>
      </c>
      <c r="AC13" s="865">
        <f t="shared" si="4"/>
        <v>0</v>
      </c>
      <c r="AD13" s="865">
        <f t="shared" si="4"/>
        <v>0</v>
      </c>
      <c r="AE13" s="869">
        <f t="shared" si="4"/>
        <v>0</v>
      </c>
      <c r="AF13" s="862">
        <f t="shared" si="4"/>
        <v>0</v>
      </c>
      <c r="AG13" s="870">
        <f t="shared" si="4"/>
        <v>0</v>
      </c>
      <c r="AH13" s="867">
        <f t="shared" si="4"/>
        <v>0</v>
      </c>
      <c r="AI13" s="862">
        <f t="shared" si="4"/>
        <v>26</v>
      </c>
      <c r="AJ13" s="864">
        <f t="shared" si="4"/>
        <v>0</v>
      </c>
      <c r="AK13" s="867">
        <f>SUBTOTAL(9,AK9:AK12)</f>
        <v>0</v>
      </c>
      <c r="AL13" s="871">
        <f>IF(ISNUMBER(NºAsuntos!G13/NºAsuntos!E13),NºAsuntos!G13/NºAsuntos!E13," - ")</f>
        <v>0.74285714285714288</v>
      </c>
      <c r="AM13" s="871">
        <f>IF(ISNUMBER(((NºAsuntos!I13/NºAsuntos!G13)*11)/factor_trimestre),((NºAsuntos!I13/NºAsuntos!G13)*11)/factor_trimestre," - ")</f>
        <v>10.423076923076923</v>
      </c>
      <c r="AN13" s="872">
        <f>IF(ISNUMBER('Resol  Asuntos'!D13/NºAsuntos!G13),'Resol  Asuntos'!D13/NºAsuntos!G13," - ")</f>
        <v>0.33333333333333331</v>
      </c>
      <c r="AO13" s="873">
        <f>IF(ISNUMBER((NºAsuntos!C13+NºAsuntos!E13)/NºAsuntos!G13),(NºAsuntos!C13+NºAsuntos!E13)/NºAsuntos!G13," - ")</f>
        <v>4.4743589743589745</v>
      </c>
      <c r="AP13" s="874" t="str">
        <f t="shared" si="2"/>
        <v xml:space="preserve"> - </v>
      </c>
      <c r="AQ13" s="874" t="str">
        <f>IF(ISNUMBER((H13-W13+K13)/(F13)),(H13-W13+K13)/(F13)," - ")</f>
        <v xml:space="preserve"> - </v>
      </c>
      <c r="AR13" s="875">
        <f>IF(ISNUMBER((Datos!P13-Datos!Q13)/(Datos!R13-Datos!P13+Datos!Q13)),(Datos!P13-Datos!Q13)/(Datos!R13-Datos!P13+Datos!Q13)," - ")</f>
        <v>-1.5228426395939087E-2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398</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398</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398</v>
      </c>
      <c r="C17" s="159" t="str">
        <f>Datos!A17</f>
        <v xml:space="preserve">Sección Civil y de Inst. TI                      </v>
      </c>
      <c r="D17" s="159"/>
      <c r="E17" s="1020">
        <f>IF(ISNUMBER(Datos!AQ17),Datos!AQ17," - ")</f>
        <v>1</v>
      </c>
      <c r="F17" s="224">
        <f>IF(ISNUMBER(AA17+W17-Datos!J17-K17),AA17+W17-Datos!J17-K17," - ")</f>
        <v>117</v>
      </c>
      <c r="G17" s="332">
        <f>IF(ISNUMBER(IF(D_I="SI",Datos!I17,Datos!I17+Datos!AC17)),IF(D_I="SI",Datos!I17,Datos!I17+Datos!AC17)," - ")</f>
        <v>117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118</v>
      </c>
      <c r="X17" s="225">
        <f>IF(ISNUMBER(Datos!Q17),Datos!Q17," - ")</f>
        <v>8</v>
      </c>
      <c r="Y17" s="333">
        <f t="shared" ref="Y17:Y18" si="9">SUM(W17:X17)</f>
        <v>126</v>
      </c>
      <c r="Z17" s="334" t="str">
        <f>IF(ISNUMBER(Datos!CC17),Datos!CC17," - ")</f>
        <v xml:space="preserve"> - </v>
      </c>
      <c r="AA17" s="331">
        <f>IF(ISNUMBER(IF(D_I="SI",Datos!L17,Datos!L17+Datos!AF17)),IF(D_I="SI",Datos!L17,Datos!L17+Datos!AF17)," - ")</f>
        <v>118</v>
      </c>
      <c r="AB17" s="333">
        <f>IF(ISNUMBER(Datos!R17),Datos!R17," - ")</f>
        <v>15</v>
      </c>
      <c r="AC17" s="333">
        <f t="shared" si="6"/>
        <v>133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0.99159663865546221</v>
      </c>
      <c r="AM17" s="259">
        <f>IF(ISNUMBER(((NºAsuntos!I17/NºAsuntos!G17)*11)/factor_trimestre),((NºAsuntos!I17/NºAsuntos!G17)*11)/factor_trimestre," - ")</f>
        <v>3</v>
      </c>
      <c r="AN17" s="243">
        <f>IF(ISNUMBER('Resol  Asuntos'!D17/NºAsuntos!G17),'Resol  Asuntos'!D17/NºAsuntos!G17," - ")</f>
        <v>0.17796610169491525</v>
      </c>
      <c r="AO17" s="244">
        <f>IF(ISNUMBER((NºAsuntos!C17+NºAsuntos!E17)/NºAsuntos!G17),(NºAsuntos!C17+NºAsuntos!E17)/NºAsuntos!G17," - ")</f>
        <v>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0</v>
      </c>
      <c r="B18" s="274" t="s">
        <v>398</v>
      </c>
      <c r="C18" s="7" t="str">
        <f>Datos!A18</f>
        <v>Sección De Violencia sobre la Mujer del TI</v>
      </c>
      <c r="D18" s="7"/>
      <c r="E18" s="1020">
        <f>IF(ISNUMBER(Datos!AQ18),Datos!AQ18," - ")</f>
        <v>0</v>
      </c>
      <c r="F18" s="224" t="str">
        <f>IF(ISNUMBER(AA18+W18-H18-K18),AA18+W18-H18-K18," - ")</f>
        <v xml:space="preserve"> - </v>
      </c>
      <c r="G18" s="332" t="str">
        <f>IF(ISNUMBER(IF(D_I="SI",Datos!I18,Datos!I18+Datos!AC18)),IF(D_I="SI",Datos!I18,Datos!I18+Datos!AC18)," - ")</f>
        <v xml:space="preserve"> - </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t="str">
        <f>IF(ISNUMBER(IF(D_I="SI",Datos!K18,Datos!K18+Datos!AE18)),IF(D_I="SI",Datos!K18,Datos!K18+Datos!AE18)," - ")</f>
        <v xml:space="preserve"> - </v>
      </c>
      <c r="X18" s="225" t="str">
        <f>IF(ISNUMBER(Datos!Q18),Datos!Q18," - ")</f>
        <v xml:space="preserve"> - </v>
      </c>
      <c r="Y18" s="333">
        <f t="shared" si="9"/>
        <v>0</v>
      </c>
      <c r="Z18" s="334" t="str">
        <f>IF(ISNUMBER(Datos!CC18),Datos!CC18," - ")</f>
        <v xml:space="preserve"> - </v>
      </c>
      <c r="AA18" s="331" t="str">
        <f>IF(ISNUMBER(Datos!L18),Datos!L18,"-")</f>
        <v>-</v>
      </c>
      <c r="AB18" s="333" t="str">
        <f>IF(ISNUMBER(Datos!R18),Datos!R18," - ")</f>
        <v xml:space="preserve"> - </v>
      </c>
      <c r="AC18" s="333" t="str">
        <f t="shared" si="6"/>
        <v xml:space="preserve"> - </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t="str">
        <f>IF(ISNUMBER(Datos!M18),Datos!M18," - ")</f>
        <v xml:space="preserve"> - </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117</v>
      </c>
      <c r="G19" s="863">
        <f>SUBTOTAL(9,G15:G18)</f>
        <v>117</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118</v>
      </c>
      <c r="X19" s="864">
        <f t="shared" si="13"/>
        <v>8</v>
      </c>
      <c r="Y19" s="865">
        <f t="shared" si="13"/>
        <v>126</v>
      </c>
      <c r="Z19" s="865">
        <f t="shared" si="13"/>
        <v>0</v>
      </c>
      <c r="AA19" s="865">
        <f t="shared" si="13"/>
        <v>118</v>
      </c>
      <c r="AB19" s="865">
        <f t="shared" si="13"/>
        <v>15</v>
      </c>
      <c r="AC19" s="865">
        <f t="shared" si="13"/>
        <v>133</v>
      </c>
      <c r="AD19" s="865">
        <f t="shared" si="13"/>
        <v>0</v>
      </c>
      <c r="AE19" s="869">
        <f t="shared" si="13"/>
        <v>0</v>
      </c>
      <c r="AF19" s="862">
        <f t="shared" si="13"/>
        <v>0</v>
      </c>
      <c r="AG19" s="870">
        <f t="shared" si="13"/>
        <v>0</v>
      </c>
      <c r="AH19" s="867">
        <f t="shared" si="13"/>
        <v>0</v>
      </c>
      <c r="AI19" s="862">
        <f t="shared" si="13"/>
        <v>21</v>
      </c>
      <c r="AJ19" s="864">
        <f t="shared" si="13"/>
        <v>0</v>
      </c>
      <c r="AK19" s="867">
        <f t="shared" si="13"/>
        <v>0</v>
      </c>
      <c r="AL19" s="871">
        <f>IF(ISNUMBER(NºAsuntos!G19/NºAsuntos!E19),NºAsuntos!G19/NºAsuntos!E19," - ")</f>
        <v>0.99159663865546221</v>
      </c>
      <c r="AM19" s="871">
        <f>IF(ISNUMBER(((NºAsuntos!I19/NºAsuntos!G19)*11)/factor_trimestre),((NºAsuntos!I19/NºAsuntos!G19)*11)/factor_trimestre," - ")</f>
        <v>3</v>
      </c>
      <c r="AN19" s="872">
        <f>IF(ISNUMBER('Resol  Asuntos'!D19/NºAsuntos!G19),'Resol  Asuntos'!D19/NºAsuntos!G19," - ")</f>
        <v>0.17796610169491525</v>
      </c>
      <c r="AO19" s="873">
        <f>IF(ISNUMBER((NºAsuntos!C19+NºAsuntos!E19)/NºAsuntos!G19),(NºAsuntos!C19+NºAsuntos!E19)/NºAsuntos!G19," - ")</f>
        <v>2</v>
      </c>
      <c r="AP19" s="874" t="str">
        <f t="shared" si="2"/>
        <v xml:space="preserve"> - </v>
      </c>
      <c r="AQ19" s="874">
        <f>IF(ISNUMBER((H19-W19+K19)/(F19)),(H19-W19+K19)/(F19)," - ")</f>
        <v>-1.0085470085470085</v>
      </c>
      <c r="AR19" s="875">
        <f>IF(ISNUMBER((Datos!P19-Datos!Q19)/(Datos!R19-Datos!P19+Datos!Q19)),(Datos!P19-Datos!Q19)/(Datos!R19-Datos!P19+Datos!Q19)," - ")</f>
        <v>-0.21052631578947367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117</v>
      </c>
      <c r="G20" s="818">
        <f t="shared" si="15"/>
        <v>117</v>
      </c>
      <c r="H20" s="817">
        <f t="shared" si="15"/>
        <v>0</v>
      </c>
      <c r="I20" s="819">
        <f t="shared" si="15"/>
        <v>0</v>
      </c>
      <c r="J20" s="819">
        <f t="shared" si="15"/>
        <v>0</v>
      </c>
      <c r="K20" s="878">
        <f t="shared" si="15"/>
        <v>0</v>
      </c>
      <c r="L20" s="819">
        <f t="shared" si="15"/>
        <v>35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118</v>
      </c>
      <c r="X20" s="818">
        <f t="shared" si="16"/>
        <v>45</v>
      </c>
      <c r="Y20" s="825">
        <f t="shared" si="16"/>
        <v>163</v>
      </c>
      <c r="Z20" s="825">
        <f t="shared" si="16"/>
        <v>0</v>
      </c>
      <c r="AA20" s="825">
        <f t="shared" si="16"/>
        <v>118</v>
      </c>
      <c r="AB20" s="825">
        <f t="shared" si="16"/>
        <v>403</v>
      </c>
      <c r="AC20" s="825">
        <f t="shared" si="16"/>
        <v>133</v>
      </c>
      <c r="AD20" s="825">
        <f t="shared" si="16"/>
        <v>0</v>
      </c>
      <c r="AE20" s="827">
        <f t="shared" si="16"/>
        <v>0</v>
      </c>
      <c r="AF20" s="828">
        <f t="shared" si="16"/>
        <v>0</v>
      </c>
      <c r="AG20" s="829">
        <f t="shared" si="16"/>
        <v>0</v>
      </c>
      <c r="AH20" s="827">
        <f t="shared" si="16"/>
        <v>0</v>
      </c>
      <c r="AI20" s="817">
        <f t="shared" si="16"/>
        <v>47</v>
      </c>
      <c r="AJ20" s="817">
        <f t="shared" si="16"/>
        <v>0</v>
      </c>
      <c r="AK20" s="827">
        <f t="shared" si="16"/>
        <v>0</v>
      </c>
      <c r="AL20" s="881">
        <f>IF(ISNUMBER(NºAsuntos!G20/NºAsuntos!E20),NºAsuntos!G20/NºAsuntos!E20," - ")</f>
        <v>0.875</v>
      </c>
      <c r="AM20" s="882">
        <f>IF(ISNUMBER(((NºAsuntos!I20/NºAsuntos!G20)*11)/factor_trimestre),((NºAsuntos!I20/NºAsuntos!G20)*11)/factor_trimestre," - ")</f>
        <v>5.954081632653061</v>
      </c>
      <c r="AN20" s="882">
        <f>IF(ISNUMBER('Resol  Asuntos'!D20/NºAsuntos!G20),'Resol  Asuntos'!D20/NºAsuntos!G20," - ")</f>
        <v>0.23979591836734693</v>
      </c>
      <c r="AO20" s="883">
        <f>IF(ISNUMBER((NºAsuntos!C20+NºAsuntos!E20)/NºAsuntos!G20),(NºAsuntos!C20+NºAsuntos!E20)/NºAsuntos!G20," - ")</f>
        <v>2.9846938775510203</v>
      </c>
      <c r="AP20" s="884" t="str">
        <f t="shared" si="2"/>
        <v xml:space="preserve"> - </v>
      </c>
      <c r="AQ20" s="885">
        <f>IF(OR(ISNUMBER(FIND("01",Criterios!A8,1)),ISNUMBER(FIND("02",Criterios!A8,1)),ISNUMBER(FIND("03",Criterios!A8,1)),ISNUMBER(FIND("04",Criterios!A8,1))),(I20-W20+K20)/(F20-K20),(H20-W20+K20)/(F20-K20))</f>
        <v>-1.0085470085470085</v>
      </c>
      <c r="AR20" s="886">
        <f>IF(ISNUMBER((Datos!P20-Datos!Q20)/(Datos!R20-Datos!P20+Datos!Q20)),(Datos!P20-Datos!Q20)/(Datos!R20-Datos!P20+Datos!Q20)," - ")</f>
        <v>-2.4213075060532687E-2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266</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267</v>
      </c>
      <c r="D22" s="340"/>
      <c r="E22" s="282">
        <f>IF(ISNUMBER(STDEV(E8:E19)),STDEV(E8:E19),"-")</f>
        <v>0.5163977794943222</v>
      </c>
      <c r="F22" s="251">
        <f>IF(ISNUMBER(STDEV(F8:F19)),STDEV(F8:F19),"-")</f>
        <v>67.549981495186216</v>
      </c>
      <c r="G22" s="252">
        <f>IF(ISNUMBER(STDEV(G8:G19)),STDEV(G8:G19),"-")</f>
        <v>67.549981495186216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68.127331764375839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2.8867513459481291</v>
      </c>
      <c r="AJ22" s="251">
        <f t="shared" si="20"/>
        <v>0</v>
      </c>
      <c r="AK22" s="253">
        <f t="shared" si="20"/>
        <v>0</v>
      </c>
      <c r="AL22" s="248">
        <f t="shared" si="20"/>
        <v>0.14360981485725144</v>
      </c>
      <c r="AM22" s="249">
        <f t="shared" si="20"/>
        <v>4.285715459753761</v>
      </c>
      <c r="AN22" s="249">
        <f t="shared" si="20"/>
        <v>8.9701313009687575E-2</v>
      </c>
      <c r="AO22" s="250">
        <f t="shared" si="20"/>
        <v>1.4285718199179207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426</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264</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265</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VDLhxg9XFzsmli6pom0fngWN3Znn8ikRSnn1nqkDGmaYTOcA8JuYFdijwZyR3R9YFaNpVPv6Drb472A4s4Yrg==" saltValue="8v4/SWFNLt714aV+/ilW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LOGROSAN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279</v>
      </c>
      <c r="O5" s="161"/>
      <c r="P5" s="161"/>
      <c r="Q5" s="170" t="s">
        <v>280</v>
      </c>
      <c r="R5" s="170"/>
      <c r="S5" s="168"/>
      <c r="T5" s="168"/>
    </row>
    <row r="6" spans="2:20" ht="12.75" customHeight="1">
      <c r="B6" s="272"/>
      <c r="C6" s="1546"/>
      <c r="D6" s="1566"/>
      <c r="E6" s="1597"/>
      <c r="F6" s="1594"/>
      <c r="G6" s="1591"/>
      <c r="H6" s="1588"/>
      <c r="I6" s="1563"/>
      <c r="J6" s="1540"/>
      <c r="K6" s="1557"/>
      <c r="M6" s="1601" t="s">
        <v>295</v>
      </c>
      <c r="N6" s="1601" t="s">
        <v>276</v>
      </c>
      <c r="O6" s="1601" t="s">
        <v>277</v>
      </c>
      <c r="P6" s="1601" t="s">
        <v>278</v>
      </c>
      <c r="Q6" s="1601" t="s">
        <v>295</v>
      </c>
      <c r="R6" s="1601" t="s">
        <v>276</v>
      </c>
      <c r="S6" s="1601" t="s">
        <v>277</v>
      </c>
      <c r="T6" s="1601" t="s">
        <v>278</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248</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248</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248</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248</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-0.67500000000000004</v>
      </c>
      <c r="I12" s="349">
        <f>IF(ISNUMBER((Tasas!C12-Datos!BE12)/Datos!BE12),(Tasas!C12-Datos!BE12)/Datos!BE12," - ")</f>
        <v>0.4346369922212619</v>
      </c>
      <c r="J12" s="348">
        <f>IF(ISNUMBER((Tasas!D12-Datos!BF12)/Datos!BF12),(Tasas!D12-Datos!BF12)/Datos!BF12," - ")</f>
        <v>1.0416666666666667</v>
      </c>
      <c r="K12" s="350">
        <f>IF(ISNUMBER((Tasas!E12-Datos!BG12)/Datos!BG12),(Tasas!E12-Datos!BG12)/Datos!BG12," - ")</f>
        <v>0.30761584340113168</v>
      </c>
      <c r="M12" t="e">
        <f>IF(Monitorios="SI",Datos!CE12,0)</f>
        <v>#REF!</v>
      </c>
      <c r="N12" t="e">
        <f>IF(Monitorios="SI",Datos!CF12,0)</f>
        <v>#REF!</v>
      </c>
      <c r="O12" t="e">
        <f>IF(Monitorios="SI",Datos!CG12,0)</f>
        <v>#REF!</v>
      </c>
      <c r="P12" t="e">
        <f>IF(Monitorios="SI",Datos!CH12,0)</f>
        <v>#REF!</v>
      </c>
      <c r="Q12">
        <f>IF(J_V="SI",0,Datos!AG12)</f>
        <v>2</v>
      </c>
      <c r="R12">
        <f>IF(J_V="SI",0,Datos!AH12)</f>
        <v>2</v>
      </c>
      <c r="S12">
        <f>IF(J_V="SI",0,Datos!AI12)</f>
        <v>3</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-0.67500000000000004</v>
      </c>
      <c r="I13" s="356">
        <f>IF(ISNUMBER((Tasas!C13-Datos!BE13)/Datos!BE13),(Tasas!C13-Datos!BE13)/Datos!BE13," - ")</f>
        <v>0.4346369922212619</v>
      </c>
      <c r="J13" s="354">
        <f>IF(ISNUMBER((Tasas!D13-Datos!BF13)/Datos!BF13),(Tasas!D13-Datos!BF13)/Datos!BF13," - ")</f>
        <v>1.0416666666666667</v>
      </c>
      <c r="K13" s="357">
        <f>IF(ISNUMBER((Tasas!E13-Datos!BG13)/Datos!BG13),(Tasas!E13-Datos!BG13)/Datos!BG13," - ")</f>
        <v>0.30761584340113168</v>
      </c>
      <c r="M13" t="e">
        <f>IF(Monitorios="SI",Datos!CE13,0)</f>
        <v>#REF!</v>
      </c>
      <c r="N13" t="e">
        <f>IF(Monitorios="SI",Datos!CF13,0)</f>
        <v>#REF!</v>
      </c>
      <c r="O13" t="e">
        <f>IF(Monitorios="SI",Datos!CG13,0)</f>
        <v>#REF!</v>
      </c>
      <c r="P13" t="e">
        <f>IF(Monitorios="SI",Datos!CH13,0)</f>
        <v>#REF!</v>
      </c>
      <c r="Q13">
        <f>IF(J_V="SI",0,Datos!AG13)</f>
        <v>2</v>
      </c>
      <c r="R13">
        <f>IF(J_V="SI",0,Datos!AH13)</f>
        <v>2</v>
      </c>
      <c r="S13">
        <f>IF(J_V="SI",0,Datos!AI13)</f>
        <v>3</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398</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398</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398</v>
      </c>
      <c r="C17" s="7" t="str">
        <f>Datos!A17</f>
        <v xml:space="preserve">Sección Civil y de Inst. TI                      </v>
      </c>
      <c r="D17" s="351">
        <f>IF(ISNUMBER(
   IF(D_I="SI",(Datos!I17-Datos!S17)/Datos!S17,(Datos!I17+Datos!AC17-(Datos!S17+Datos!AK17))/(Datos!S17+Datos!AK17))
     ),IF(D_I="SI",(Datos!I17-Datos!S17)/Datos!S17,(Datos!I17+Datos!AC17-(Datos!S17+Datos!AK17))/(Datos!S17+Datos!AK17))," - ")</f>
        <v>-0.36065573770491804</v>
      </c>
      <c r="E17" s="347">
        <f>IF(ISNUMBER(
   IF(D_I="SI",(Datos!J17-Datos!T17)/Datos!T17,(Datos!J17+Datos!AD17-(Datos!T17+Datos!AL17))/(Datos!T17+Datos!AL17))
     ),IF(D_I="SI",(Datos!J17-Datos!T17)/Datos!T17,(Datos!J17+Datos!AD17-(Datos!T17+Datos!AL17))/(Datos!T17+Datos!AL17))," - ")</f>
        <v>7.2072072072072071E-2</v>
      </c>
      <c r="F17" s="347">
        <f>IF(ISNUMBER(
   IF(D_I="SI",(Datos!K17-Datos!U17)/Datos!U17,(Datos!K17+Datos!AE17-(Datos!U17+Datos!AM17))/(Datos!U17+Datos!AM17))
     ),IF(D_I="SI",(Datos!K17-Datos!U17)/Datos!U17,(Datos!K17+Datos!AE17-(Datos!U17+Datos!AM17))/(Datos!U17+Datos!AM17))," - ")</f>
        <v>0.12380952380952381</v>
      </c>
      <c r="G17" s="348">
        <f>IF(ISNUMBER(
   IF(D_I="SI",(Datos!L17-Datos!V17)/Datos!V17,(Datos!L17+Datos!AF17-(Datos!V17+Datos!AN17))/(Datos!V17+Datos!AN17))
     ),IF(D_I="SI",(Datos!L17-Datos!V17)/Datos!V17,(Datos!L17+Datos!AF17-(Datos!V17+Datos!AN17))/(Datos!V17+Datos!AN17))," - ")</f>
        <v>-0.37566137566137564</v>
      </c>
      <c r="H17" s="229">
        <f>IF(ISNUMBER((Datos!M17-Datos!W17)/Datos!W17),(Datos!M17-Datos!W17)/Datos!W17," - ")</f>
        <v>0.3125</v>
      </c>
      <c r="I17" s="349">
        <f>IF(ISNUMBER((Tasas!C17-Datos!BE17)/Datos!BE17),(Tasas!C17-Datos!BE17)/Datos!BE17," - ")</f>
        <v>-0.44444444444444448</v>
      </c>
      <c r="J17" s="348">
        <f>IF(ISNUMBER((Tasas!D17-Datos!BF17)/Datos!BF17),(Tasas!D17-Datos!BF17)/Datos!BF17," - ")</f>
        <v>0.16790254237288124</v>
      </c>
      <c r="K17" s="350">
        <f>IF(ISNUMBER((Tasas!E17-Datos!BG17)/Datos!BG17),(Tasas!E17-Datos!BG17)/Datos!BG17," - ")</f>
        <v>-0.28571428571428564</v>
      </c>
    </row>
    <row r="18" spans="2:20" ht="15" thickBot="1">
      <c r="B18" s="274" t="s">
        <v>398</v>
      </c>
      <c r="C18" s="7" t="str">
        <f>Datos!A18</f>
        <v>Sección De Violencia sobre la Mujer del TI</v>
      </c>
      <c r="D18" s="351" t="str">
        <f>IF(ISNUMBER(
   IF(D_I="SI",(Datos!I18-Datos!S18)/Datos!S18,(Datos!I18+Datos!AC18-(Datos!S18+Datos!AK18))/(Datos!S18+Datos!AK18))
     ),IF(D_I="SI",(Datos!I18-Datos!S18)/Datos!S18,(Datos!I18+Datos!AC18-(Datos!S18+Datos!AK18))/(Datos!S18+Datos!AK18))," - ")</f>
        <v xml:space="preserve"> - </v>
      </c>
      <c r="E18" s="347" t="str">
        <f>IF(ISNUMBER(
   IF(D_I="SI",(Datos!J18-Datos!T18)/Datos!T18,(Datos!J18+Datos!AD18-(Datos!T18+Datos!AL18))/(Datos!T18+Datos!AL18))
     ),IF(D_I="SI",(Datos!J18-Datos!T18)/Datos!T18,(Datos!J18+Datos!AD18-(Datos!T18+Datos!AL18))/(Datos!T18+Datos!AL18))," - ")</f>
        <v xml:space="preserve"> - </v>
      </c>
      <c r="F18" s="347" t="str">
        <f>IF(ISNUMBER(
   IF(D_I="SI",(Datos!K18-Datos!U18)/Datos!U18,(Datos!K18+Datos!AE18-(Datos!U18+Datos!AM18))/(Datos!U18+Datos!AM18))
     ),IF(D_I="SI",(Datos!K18-Datos!U18)/Datos!U18,(Datos!K18+Datos!AE18-(Datos!U18+Datos!AM18))/(Datos!U18+Datos!AM18))," - ")</f>
        <v xml:space="preserve"> - </v>
      </c>
      <c r="G18" s="348" t="str">
        <f>IF(ISNUMBER(
   IF(D_I="SI",(Datos!L18-Datos!V18)/Datos!V18,(Datos!L18+Datos!AF18-(Datos!V18+Datos!AN18))/(Datos!V18+Datos!AN18))
     ),IF(D_I="SI",(Datos!L18-Datos!V18)/Datos!V18,(Datos!L18+Datos!AF18-(Datos!V18+Datos!AN18))/(Datos!V18+Datos!AN18))," - ")</f>
        <v xml:space="preserve"> - </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-0.36065573770491804</v>
      </c>
      <c r="E19" s="353">
        <f>IF(ISNUMBER(
   IF(D_I="SI",(Datos!J19-Datos!T19)/Datos!T19,(Datos!J19+Datos!AD19-(Datos!T19+Datos!AL19))/(Datos!T19+Datos!AL19))
     ),IF(D_I="SI",(Datos!J19-Datos!T19)/Datos!T19,(Datos!J19+Datos!AD19-(Datos!T19+Datos!AL19))/(Datos!T19+Datos!AL19))," - ")</f>
        <v>7.2072072072072071E-2</v>
      </c>
      <c r="F19" s="353">
        <f>IF(ISNUMBER(
   IF(D_I="SI",(Datos!K19-Datos!U19)/Datos!U19,(Datos!K19+Datos!AE19-(Datos!U19+Datos!AM19))/(Datos!U19+Datos!AM19))
     ),IF(D_I="SI",(Datos!K19-Datos!U19)/Datos!U19,(Datos!K19+Datos!AE19-(Datos!U19+Datos!AM19))/(Datos!U19+Datos!AM19))," - ")</f>
        <v>0.12380952380952381</v>
      </c>
      <c r="G19" s="354">
        <f>IF(ISNUMBER(
   IF(D_I="SI",(Datos!L19-Datos!V19)/Datos!V19,(Datos!L19+Datos!AF19-(Datos!V19+Datos!AN19))/(Datos!V19+Datos!AN19))
     ),IF(D_I="SI",(Datos!L19-Datos!V19)/Datos!V19,(Datos!L19+Datos!AF19-(Datos!V19+Datos!AN19))/(Datos!V19+Datos!AN19))," - ")</f>
        <v>-0.37566137566137564</v>
      </c>
      <c r="H19" s="355">
        <f>IF(ISNUMBER((Datos!M19-Datos!W19)/Datos!W19),(Datos!M19-Datos!W19)/Datos!W19," - ")</f>
        <v>0.3125</v>
      </c>
      <c r="I19" s="356">
        <f>IF(ISNUMBER((Tasas!C19-Datos!BE19)/Datos!BE19),(Tasas!C19-Datos!BE19)/Datos!BE19," - ")</f>
        <v>-0.44444444444444448</v>
      </c>
      <c r="J19" s="354">
        <f>IF(ISNUMBER((Tasas!D19-Datos!BF19)/Datos!BF19),(Tasas!D19-Datos!BF19)/Datos!BF19," - ")</f>
        <v>0.16790254237288124</v>
      </c>
      <c r="K19" s="357">
        <f>IF(ISNUMBER((Tasas!E19-Datos!BG19)/Datos!BG19),(Tasas!E19-Datos!BG19)/Datos!BG19," - ")</f>
        <v>-0.28571428571428564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-0.26326530612244897</v>
      </c>
      <c r="E20" s="362">
        <f>IF(ISNUMBER(
   IF(J_V="SI",(Datos!J20-Datos!T20)/Datos!T20,(Datos!J20+Datos!Z20-(Datos!T20+Datos!AH20))/(Datos!T20+Datos!AH20))
     ),IF(J_V="SI",(Datos!J20-Datos!T20)/Datos!T20,(Datos!J20+Datos!Z20-(Datos!T20+Datos!AH20))/(Datos!T20+Datos!AH20))," - ")</f>
        <v>-0.27035830618892509</v>
      </c>
      <c r="F20" s="362">
        <f>IF(ISNUMBER(
   IF(J_V="SI",(Datos!K20-Datos!U20)/Datos!U20,(Datos!K20+Datos!AA20-(Datos!U20+Datos!AI20))/(Datos!U20+Datos!AI20))
     ),IF(J_V="SI",(Datos!K20-Datos!U20)/Datos!U20,(Datos!K20+Datos!AA20-(Datos!U20+Datos!AI20))/(Datos!U20+Datos!AI20))," - ")</f>
        <v>-0.22222222222222221</v>
      </c>
      <c r="G20" s="363">
        <f>IF(ISNUMBER(
   IF(J_V="SI",(Datos!L20-Datos!V20)/Datos!V20,(Datos!L20+Datos!AB20-(Datos!V20+Datos!AJ20))/(Datos!V20+Datos!AJ20))
     ),IF(J_V="SI",(Datos!L20-Datos!V20)/Datos!V20,(Datos!L20+Datos!AB20-(Datos!V20+Datos!AJ20))/(Datos!V20+Datos!AJ20))," - ")</f>
        <v>-0.28623853211009176</v>
      </c>
      <c r="H20" s="364">
        <f>IF(ISNUMBER((Datos!M20-Datos!W20)/Datos!W20),(Datos!M20-Datos!W20)/Datos!W20," - ")</f>
        <v>-0.51041666666666663</v>
      </c>
      <c r="I20" s="361">
        <f>IF(ISNUMBER((Tasas!C20-Datos!BE20)/Datos!BE20),(Tasas!C20-Datos!BE20)/Datos!BE20," - ")</f>
        <v>-8.2306684141546502E-2</v>
      </c>
      <c r="J20" s="362">
        <f>IF(ISNUMBER((Tasas!D20-Datos!BF20)/Datos!BF20),(Tasas!D20-Datos!BF20)/Datos!BF20," - ")</f>
        <v>0.51071428571428568</v>
      </c>
      <c r="K20" s="363">
        <f>IF(ISNUMBER((Tasas!E20-Datos!BG20)/Datos!BG20),(Tasas!E20-Datos!BG20)/Datos!BG20," - ")</f>
        <v>-5.6282487901057519E-2</v>
      </c>
    </row>
    <row r="21" spans="2:20" ht="15.75" customHeight="1" thickTop="1" thickBot="1">
      <c r="B21" s="166"/>
      <c r="C21" s="809" t="s">
        <v>266</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267</v>
      </c>
      <c r="D22" s="276">
        <f t="shared" ref="D22:K22" si="1">IF(ISNUMBER( STDEV(D8:D19)),STDEV(D8:D19)," - ")</f>
        <v>0</v>
      </c>
      <c r="E22" s="277">
        <f t="shared" si="1"/>
        <v>0</v>
      </c>
      <c r="F22" s="277">
        <f t="shared" si="1"/>
        <v>0</v>
      </c>
      <c r="G22" s="278">
        <f t="shared" si="1"/>
        <v>0</v>
      </c>
      <c r="H22" s="284">
        <f t="shared" si="1"/>
        <v>0.57013339082475545</v>
      </c>
      <c r="I22" s="276">
        <f t="shared" si="1"/>
        <v>0.50753790409854849</v>
      </c>
      <c r="J22" s="277">
        <f t="shared" si="1"/>
        <v>0.5044679523692549</v>
      </c>
      <c r="K22" s="278">
        <f t="shared" si="1"/>
        <v>0.34255930976310162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264</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265</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WpLlJn5CMOGftgjj2QmsCrQpqbhdbm0arOATrlVOPfr/JO3eMu97axkUJZbSxGdbofLN31zgUnO5f5aj4+9sQ==" saltValue="3k1dIKdFn0BRChye2Xvg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